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2" activeTab="2"/>
  </bookViews>
  <sheets>
    <sheet name="Пр.1 Осн.пар.конс.бюдж.2018-20" sheetId="12" r:id="rId1"/>
    <sheet name="Пр.2 Осн.пар.бюджРМР 2018-20" sheetId="11" r:id="rId2"/>
    <sheet name="Прил4 Дот.обл.18-20" sheetId="13" r:id="rId3"/>
    <sheet name="Данные для свода пос.2018-2020" sheetId="21" r:id="rId4"/>
  </sheets>
  <definedNames>
    <definedName name="_xlnm.Print_Area" localSheetId="0">'Пр.1 Осн.пар.конс.бюдж.2018-20'!$A$1:$H$37</definedName>
    <definedName name="_xlnm.Print_Area" localSheetId="2">'Прил4 Дот.обл.18-20'!$A$1:$F$25</definedName>
  </definedNames>
  <calcPr calcId="114210"/>
</workbook>
</file>

<file path=xl/calcChain.xml><?xml version="1.0" encoding="utf-8"?>
<calcChain xmlns="http://schemas.openxmlformats.org/spreadsheetml/2006/main">
  <c r="AN10" i="21"/>
  <c r="AM10"/>
  <c r="AL10"/>
  <c r="AI10"/>
  <c r="AH10"/>
  <c r="AG10"/>
  <c r="AF10"/>
  <c r="AA10"/>
  <c r="Z10"/>
  <c r="V10"/>
  <c r="U10"/>
  <c r="T10"/>
  <c r="S10"/>
  <c r="L10"/>
  <c r="K10"/>
  <c r="I10"/>
  <c r="F10"/>
  <c r="E10"/>
  <c r="D10"/>
  <c r="B10"/>
  <c r="F21" i="12"/>
  <c r="F16"/>
  <c r="E21"/>
  <c r="E16"/>
  <c r="F27"/>
  <c r="E26"/>
  <c r="F31" i="11"/>
  <c r="E31"/>
  <c r="F46"/>
  <c r="E45"/>
  <c r="D20" i="13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F49" i="11"/>
  <c r="E49"/>
  <c r="D46"/>
  <c r="E21"/>
  <c r="F21"/>
  <c r="D21"/>
  <c r="D19"/>
  <c r="D31"/>
  <c r="F30"/>
  <c r="E30"/>
  <c r="D30"/>
  <c r="F28"/>
  <c r="E28"/>
  <c r="D28"/>
  <c r="D27"/>
  <c r="F23"/>
  <c r="E23"/>
  <c r="D23"/>
  <c r="F25"/>
  <c r="E25"/>
  <c r="D25"/>
  <c r="F22"/>
  <c r="E22"/>
  <c r="D22"/>
  <c r="F16"/>
  <c r="E16"/>
  <c r="D16"/>
  <c r="D21" i="12"/>
  <c r="F30"/>
  <c r="E30"/>
  <c r="D27"/>
  <c r="F20"/>
  <c r="E20"/>
  <c r="D20"/>
  <c r="D16"/>
  <c r="AQ17" i="21"/>
  <c r="AD17"/>
  <c r="X17"/>
  <c r="O17"/>
  <c r="H17"/>
  <c r="AR16"/>
  <c r="AN16"/>
  <c r="AP16"/>
  <c r="AO16"/>
  <c r="AM16"/>
  <c r="AL16"/>
  <c r="AK16"/>
  <c r="AJ16"/>
  <c r="AI16"/>
  <c r="AH16"/>
  <c r="AF16"/>
  <c r="AG16"/>
  <c r="AE16"/>
  <c r="AC16"/>
  <c r="AB16"/>
  <c r="AA16"/>
  <c r="Z16"/>
  <c r="Y16"/>
  <c r="V16"/>
  <c r="U16"/>
  <c r="T16"/>
  <c r="S16"/>
  <c r="P16"/>
  <c r="N16"/>
  <c r="M16"/>
  <c r="L16"/>
  <c r="C16"/>
  <c r="K16"/>
  <c r="I16"/>
  <c r="G16"/>
  <c r="F16"/>
  <c r="D16"/>
  <c r="E16"/>
  <c r="B16"/>
  <c r="AP15"/>
  <c r="AO15"/>
  <c r="AN15"/>
  <c r="AM15"/>
  <c r="AL15"/>
  <c r="AK15"/>
  <c r="AJ15"/>
  <c r="AI15"/>
  <c r="AH15"/>
  <c r="AG15"/>
  <c r="AC15"/>
  <c r="AB15"/>
  <c r="AA15"/>
  <c r="Z15"/>
  <c r="Y15"/>
  <c r="V15"/>
  <c r="U15"/>
  <c r="T15"/>
  <c r="S15"/>
  <c r="N15"/>
  <c r="M15"/>
  <c r="L15"/>
  <c r="C15"/>
  <c r="K15"/>
  <c r="J15"/>
  <c r="I15"/>
  <c r="G15"/>
  <c r="F15"/>
  <c r="D15"/>
  <c r="E15"/>
  <c r="B15"/>
  <c r="AO14"/>
  <c r="AN14"/>
  <c r="AM14"/>
  <c r="AL14"/>
  <c r="AK14"/>
  <c r="AJ14"/>
  <c r="AI14"/>
  <c r="AH14"/>
  <c r="AF14"/>
  <c r="AG14"/>
  <c r="AB14"/>
  <c r="AA14"/>
  <c r="Z14"/>
  <c r="Y14"/>
  <c r="V14"/>
  <c r="U14"/>
  <c r="S14"/>
  <c r="T14"/>
  <c r="M14"/>
  <c r="L14"/>
  <c r="C14"/>
  <c r="K14"/>
  <c r="I14"/>
  <c r="G14"/>
  <c r="F14"/>
  <c r="D14"/>
  <c r="E14"/>
  <c r="B14"/>
  <c r="AP13"/>
  <c r="AP17"/>
  <c r="AO13"/>
  <c r="AO17"/>
  <c r="AM13"/>
  <c r="AL13"/>
  <c r="AJ13"/>
  <c r="AJ17"/>
  <c r="AI13"/>
  <c r="AH13"/>
  <c r="AF13"/>
  <c r="AG13"/>
  <c r="AC13"/>
  <c r="AC17"/>
  <c r="AB13"/>
  <c r="AA13"/>
  <c r="Z13"/>
  <c r="Y13"/>
  <c r="V13"/>
  <c r="U13"/>
  <c r="T13"/>
  <c r="N13"/>
  <c r="N17"/>
  <c r="M13"/>
  <c r="L13"/>
  <c r="C13"/>
  <c r="K13"/>
  <c r="I13"/>
  <c r="G13"/>
  <c r="F13"/>
  <c r="E13"/>
  <c r="D13"/>
  <c r="B13"/>
  <c r="AR12"/>
  <c r="AN12"/>
  <c r="AM12"/>
  <c r="AK12"/>
  <c r="AK17"/>
  <c r="AI12"/>
  <c r="AH12"/>
  <c r="AF12"/>
  <c r="AG12"/>
  <c r="AE12"/>
  <c r="AA12"/>
  <c r="Z12"/>
  <c r="Y12"/>
  <c r="Y17"/>
  <c r="V12"/>
  <c r="U12"/>
  <c r="S12"/>
  <c r="T12"/>
  <c r="P12"/>
  <c r="P17"/>
  <c r="M12"/>
  <c r="L12"/>
  <c r="C12"/>
  <c r="K12"/>
  <c r="J12"/>
  <c r="J17"/>
  <c r="I12"/>
  <c r="G12"/>
  <c r="G17"/>
  <c r="E12"/>
  <c r="B12"/>
  <c r="AN11"/>
  <c r="AM11"/>
  <c r="AH11"/>
  <c r="AF11"/>
  <c r="AA11"/>
  <c r="Z11"/>
  <c r="W11"/>
  <c r="W17"/>
  <c r="U11"/>
  <c r="S11"/>
  <c r="L11"/>
  <c r="K11"/>
  <c r="F11"/>
  <c r="D11"/>
  <c r="C11"/>
  <c r="C17"/>
  <c r="B11"/>
  <c r="AM17"/>
  <c r="AL17"/>
  <c r="AI17"/>
  <c r="AH17"/>
  <c r="AG17"/>
  <c r="AA17"/>
  <c r="Z17"/>
  <c r="V17"/>
  <c r="T17"/>
  <c r="L17"/>
  <c r="K17"/>
  <c r="I17"/>
  <c r="B17"/>
  <c r="F17"/>
  <c r="D12"/>
  <c r="D17"/>
  <c r="S13"/>
  <c r="AF15"/>
  <c r="F12"/>
  <c r="AB17"/>
  <c r="AR17"/>
  <c r="AN13"/>
  <c r="AN17"/>
  <c r="E17"/>
  <c r="M17"/>
  <c r="AE17"/>
  <c r="U17"/>
  <c r="S17"/>
  <c r="AF17"/>
  <c r="D14" i="12"/>
  <c r="F33"/>
  <c r="D33"/>
  <c r="E46" i="11"/>
  <c r="F56"/>
  <c r="E27" i="12"/>
  <c r="E56" i="11"/>
  <c r="E33" i="12"/>
  <c r="D49" i="11"/>
  <c r="D45"/>
  <c r="F39"/>
  <c r="E39"/>
  <c r="D39"/>
  <c r="F37"/>
  <c r="E37"/>
  <c r="D37"/>
  <c r="F27"/>
  <c r="E27"/>
  <c r="D56"/>
  <c r="D26" i="12"/>
  <c r="B21" i="13"/>
  <c r="D21"/>
  <c r="C21"/>
  <c r="D30" i="12"/>
  <c r="F29"/>
  <c r="F28"/>
  <c r="D29"/>
  <c r="E29"/>
  <c r="E28"/>
  <c r="D28"/>
  <c r="F26"/>
  <c r="F25"/>
  <c r="F23"/>
  <c r="E25"/>
  <c r="D25"/>
  <c r="D23"/>
  <c r="F24"/>
  <c r="E24"/>
  <c r="F18"/>
  <c r="E18"/>
  <c r="E14"/>
  <c r="E23"/>
  <c r="F14"/>
  <c r="F26" i="11"/>
  <c r="E26"/>
  <c r="D26"/>
  <c r="F54"/>
  <c r="E54"/>
  <c r="D54"/>
  <c r="F47"/>
  <c r="E47"/>
  <c r="D47"/>
  <c r="F45"/>
  <c r="E44"/>
  <c r="F44"/>
  <c r="D44"/>
  <c r="D42"/>
  <c r="F36"/>
  <c r="F35"/>
  <c r="F33"/>
  <c r="E36"/>
  <c r="E35"/>
  <c r="E33"/>
  <c r="D36"/>
  <c r="D35"/>
  <c r="D33"/>
  <c r="F19"/>
  <c r="F14"/>
  <c r="D14"/>
  <c r="E19"/>
  <c r="E14"/>
  <c r="E18"/>
  <c r="F18"/>
  <c r="F42"/>
  <c r="D41"/>
  <c r="D22" i="12"/>
  <c r="E42" i="11"/>
  <c r="F22" i="12"/>
  <c r="E22"/>
  <c r="F41" i="11"/>
  <c r="E41"/>
</calcChain>
</file>

<file path=xl/sharedStrings.xml><?xml version="1.0" encoding="utf-8"?>
<sst xmlns="http://schemas.openxmlformats.org/spreadsheetml/2006/main" count="188" uniqueCount="98">
  <si>
    <t>муниципального района</t>
  </si>
  <si>
    <t>(тыс. рублей)</t>
  </si>
  <si>
    <t>Наименование</t>
  </si>
  <si>
    <t>Иные межбюджетные трансферты</t>
  </si>
  <si>
    <t>Приложение  №  1 к распоряжению</t>
  </si>
  <si>
    <t>администрации Ртищевского</t>
  </si>
  <si>
    <t>№ п/п</t>
  </si>
  <si>
    <t>Плановый период</t>
  </si>
  <si>
    <t>1.</t>
  </si>
  <si>
    <t xml:space="preserve">Доходы - всего: </t>
  </si>
  <si>
    <t>в том числе</t>
  </si>
  <si>
    <t>Налоговые и неналоговые доходы</t>
  </si>
  <si>
    <t>из них:</t>
  </si>
  <si>
    <t>доходы от приносящей доход деятельности</t>
  </si>
  <si>
    <t>Безвозмездные поступления</t>
  </si>
  <si>
    <t>2.</t>
  </si>
  <si>
    <t>Расходы - всего</t>
  </si>
  <si>
    <t>3.</t>
  </si>
  <si>
    <t>Профицит (+), дефицит (-)</t>
  </si>
  <si>
    <t>4.</t>
  </si>
  <si>
    <t>Источники внутреннего финансирования дефицита бюджета</t>
  </si>
  <si>
    <t xml:space="preserve">Кредиты кредитных организаций </t>
  </si>
  <si>
    <t>получение</t>
  </si>
  <si>
    <t>погашение</t>
  </si>
  <si>
    <t xml:space="preserve">Бюджетные кредиты от других бюджетов бюджетной системы Российской Федерации </t>
  </si>
  <si>
    <t>Изменение остатков средств бюджета</t>
  </si>
  <si>
    <t>5.</t>
  </si>
  <si>
    <t xml:space="preserve">Предельный объем муниципального долга на конец года </t>
  </si>
  <si>
    <t>Приложение  №  2 к распоряжению</t>
  </si>
  <si>
    <t xml:space="preserve">              </t>
  </si>
  <si>
    <t>в том числе:</t>
  </si>
  <si>
    <t>доходы от иной приносящей доход деятельности</t>
  </si>
  <si>
    <t>Дотация на выравнивание бюджетной обеспеченности муниципальных районов</t>
  </si>
  <si>
    <t>Межбюджетные трансферты, передаваемые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</si>
  <si>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 областного фонда финансовой поддержки поселений</t>
  </si>
  <si>
    <t>из районного фонда финансовой поддержки поселений</t>
  </si>
  <si>
    <t>Источники внутреннего финансирования  дефицита бюджета</t>
  </si>
  <si>
    <t>возврат</t>
  </si>
  <si>
    <t>предоставление</t>
  </si>
  <si>
    <t>Субвенции по расчету и предоставлению дотаций поселениям</t>
  </si>
  <si>
    <t>Межбюджетные трансферты, передаваемые бюджетам поселений</t>
  </si>
  <si>
    <t>Иные межбюджетные трансферты бюджетам поселений</t>
  </si>
  <si>
    <t>Кредиты кредитных организаций</t>
  </si>
  <si>
    <t>Бюджетные кредиты от других бюджетов бюджетной системы Российской Федерации</t>
  </si>
  <si>
    <t>Бюджетные кредиты бюджетам поселений</t>
  </si>
  <si>
    <t>Иные источники внутреннего финансирования дефицита бюджета</t>
  </si>
  <si>
    <t>Дотации на выравнивание бюджетной обеспеченности муниципальных образований, из них:</t>
  </si>
  <si>
    <t>Приложение  № 4 к распоряжению</t>
  </si>
  <si>
    <t>Наименование поселений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</si>
  <si>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</si>
  <si>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</si>
  <si>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</si>
  <si>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</si>
  <si>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</si>
  <si>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</si>
  <si>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ИТОГО</t>
  </si>
  <si>
    <t>в т.ч.полномочия</t>
  </si>
  <si>
    <t>Доходы всего</t>
  </si>
  <si>
    <t>Налоговые и неналоговые доходы поселений</t>
  </si>
  <si>
    <t>в т.ч.</t>
  </si>
  <si>
    <t>Расходы всего</t>
  </si>
  <si>
    <t>Из них на передачу полномочий РМР, всего</t>
  </si>
  <si>
    <t>в том числе полномочия в соотв. с соглашениями</t>
  </si>
  <si>
    <t>Доходы всего :</t>
  </si>
  <si>
    <t xml:space="preserve">из них </t>
  </si>
  <si>
    <t>Дотация на выравн.б/о из обл. фонда фин.поддержки поселений</t>
  </si>
  <si>
    <t>дотации на выравнив.б/о  из районного фонда фин. поддержки</t>
  </si>
  <si>
    <t>иные МБТ бюджетам поселений из бюджета РМР</t>
  </si>
  <si>
    <t xml:space="preserve"> по формир-ю, испол-ю и контролю за испол-м бюджетов</t>
  </si>
  <si>
    <t xml:space="preserve"> по организации водоснабжения</t>
  </si>
  <si>
    <t>по дорожной деятельности</t>
  </si>
  <si>
    <t>инвентаризация и землеустроительные работы</t>
  </si>
  <si>
    <t xml:space="preserve"> дотация за счет субв. из обл.бюдж.</t>
  </si>
  <si>
    <t xml:space="preserve"> по форм-ю, исп-ю и контролю за испол-м бюджетов</t>
  </si>
  <si>
    <t>Муниципальное образование г. Ртищево</t>
  </si>
  <si>
    <t>Субвенции по воинскому учету</t>
  </si>
  <si>
    <t>в т.ч:</t>
  </si>
  <si>
    <t>Предельный объем муниципального долга  на конец года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</si>
  <si>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</si>
  <si>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</si>
  <si>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Субсидии бюджетам бюджетной системы  Российской Федерации (межбюджетные субсидии)</t>
  </si>
  <si>
    <t xml:space="preserve">Субвенции на осуществление первичного воинского учета на территориях, где отсутствуют военные комиссариаты </t>
  </si>
  <si>
    <t>2018 год</t>
  </si>
  <si>
    <t>Всего</t>
  </si>
  <si>
    <t>Муниципальное образование           г. Ртищево</t>
  </si>
  <si>
    <t>2019 год</t>
  </si>
  <si>
    <t>Муниципальное образование город Ртищево</t>
  </si>
  <si>
    <t>дотации на выравнив. б/о  из районного фонда фин. поддержки</t>
  </si>
  <si>
    <t>Основные параметры консолидированного бюджета Ртищевского муниципального района на 2018 - 2020 годы</t>
  </si>
  <si>
    <t>2020 год</t>
  </si>
  <si>
    <t>Проекты бюджетов поселений 2018- 2020 годы</t>
  </si>
  <si>
    <t xml:space="preserve">Основные параметры бюджета Ртищевского муниципального района на 2018  год и на плановый период 2019 и 2020 годов
</t>
  </si>
  <si>
    <t>Распределение средств дотации на выравнивание бюджетной обеспеченности поселений из областного фонда финансовой поддержки поселений Ртищевского муниципального района на 2018  год и на плановый период 2019 и 2020 годов</t>
  </si>
  <si>
    <t>от 8 ноября 2017 года  № 811-р</t>
  </si>
  <si>
    <t>Верно: начальник отдела делопроизводства                                                 администрации муниципального района                                     Ю.А. Малюгина</t>
  </si>
  <si>
    <t>от 8 ноября 2017 года   № 811-р</t>
  </si>
  <si>
    <t>Верно: начальник отдела делопроизводства                                                                   администрации муниципального района                                                    Ю.А. Малюгина</t>
  </si>
  <si>
    <t>Верно: начальник отдела делопроизводства администрации муниципального района                                      Ю.А. Малюгина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</si>
</sst>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2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3"/>
      <color indexed="9"/>
      <name val="Times New Roman"/>
      <family val="1"/>
      <charset val="204"/>
    </font>
    <font>
      <b/>
      <sz val="13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3"/>
      <name val="Times New Roman"/>
      <family val="1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43" fontId="6" fillId="0" borderId="0" applyFont="0" applyFill="0" applyBorder="0" applyAlignment="0" applyProtection="0"/>
  </cellStyleXfs>
  <cellXfs count="265">
    <xf numFmtId="0" fontId="0" fillId="0" borderId="0" xfId="0"/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0" fontId="8" fillId="0" borderId="0" xfId="0" applyNumberFormat="1" applyFont="1" applyFill="1" applyAlignment="1">
      <alignment wrapText="1"/>
    </xf>
    <xf numFmtId="9" fontId="8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64" fontId="4" fillId="0" borderId="0" xfId="3" applyNumberFormat="1" applyFont="1" applyFill="1" applyAlignment="1">
      <alignment wrapText="1"/>
    </xf>
    <xf numFmtId="10" fontId="8" fillId="0" borderId="0" xfId="0" applyNumberFormat="1" applyFont="1" applyFill="1" applyAlignment="1">
      <alignment horizontal="right" wrapText="1"/>
    </xf>
    <xf numFmtId="9" fontId="8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/>
    <xf numFmtId="0" fontId="4" fillId="0" borderId="0" xfId="0" applyFont="1" applyFill="1" applyBorder="1" applyAlignment="1">
      <alignment horizontal="center" vertical="center"/>
    </xf>
    <xf numFmtId="10" fontId="8" fillId="0" borderId="0" xfId="0" applyNumberFormat="1" applyFont="1" applyFill="1" applyAlignment="1"/>
    <xf numFmtId="9" fontId="8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10" fontId="8" fillId="0" borderId="0" xfId="0" applyNumberFormat="1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164" fontId="9" fillId="0" borderId="0" xfId="3" applyNumberFormat="1" applyFont="1" applyFill="1" applyBorder="1" applyAlignment="1">
      <alignment wrapText="1"/>
    </xf>
    <xf numFmtId="10" fontId="10" fillId="0" borderId="0" xfId="0" applyNumberFormat="1" applyFont="1" applyFill="1" applyAlignment="1">
      <alignment wrapText="1"/>
    </xf>
    <xf numFmtId="9" fontId="10" fillId="0" borderId="0" xfId="0" applyNumberFormat="1" applyFont="1" applyFill="1" applyAlignment="1">
      <alignment wrapText="1"/>
    </xf>
    <xf numFmtId="164" fontId="9" fillId="0" borderId="0" xfId="3" applyNumberFormat="1" applyFont="1" applyFill="1" applyAlignment="1">
      <alignment wrapText="1"/>
    </xf>
    <xf numFmtId="10" fontId="10" fillId="0" borderId="0" xfId="0" applyNumberFormat="1" applyFont="1" applyFill="1" applyAlignment="1">
      <alignment horizontal="right" wrapText="1"/>
    </xf>
    <xf numFmtId="9" fontId="10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center" vertical="center"/>
    </xf>
    <xf numFmtId="10" fontId="10" fillId="0" borderId="0" xfId="0" applyNumberFormat="1" applyFont="1" applyFill="1" applyAlignment="1"/>
    <xf numFmtId="9" fontId="10" fillId="0" borderId="0" xfId="0" applyNumberFormat="1" applyFont="1" applyFill="1"/>
    <xf numFmtId="0" fontId="9" fillId="0" borderId="0" xfId="0" applyFont="1" applyFill="1"/>
    <xf numFmtId="10" fontId="11" fillId="0" borderId="0" xfId="0" applyNumberFormat="1" applyFont="1" applyFill="1" applyAlignment="1"/>
    <xf numFmtId="9" fontId="11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 wrapText="1"/>
    </xf>
    <xf numFmtId="10" fontId="11" fillId="0" borderId="0" xfId="0" applyNumberFormat="1" applyFont="1" applyFill="1"/>
    <xf numFmtId="10" fontId="11" fillId="0" borderId="0" xfId="0" applyNumberFormat="1" applyFont="1" applyFill="1" applyAlignment="1">
      <alignment horizontal="right" wrapText="1"/>
    </xf>
    <xf numFmtId="9" fontId="11" fillId="0" borderId="0" xfId="0" applyNumberFormat="1" applyFont="1" applyFill="1" applyAlignment="1">
      <alignment horizontal="right" wrapText="1"/>
    </xf>
    <xf numFmtId="10" fontId="11" fillId="0" borderId="0" xfId="0" applyNumberFormat="1" applyFont="1" applyFill="1" applyAlignment="1">
      <alignment wrapText="1"/>
    </xf>
    <xf numFmtId="9" fontId="11" fillId="0" borderId="0" xfId="0" applyNumberFormat="1" applyFont="1" applyFill="1" applyAlignment="1">
      <alignment wrapText="1"/>
    </xf>
    <xf numFmtId="164" fontId="7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10" fontId="8" fillId="0" borderId="0" xfId="0" applyNumberFormat="1" applyFont="1" applyAlignment="1">
      <alignment horizontal="left" vertical="top"/>
    </xf>
    <xf numFmtId="9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164" fontId="4" fillId="0" borderId="0" xfId="3" applyNumberFormat="1" applyFont="1" applyFill="1" applyAlignment="1">
      <alignment horizontal="center"/>
    </xf>
    <xf numFmtId="164" fontId="7" fillId="0" borderId="0" xfId="3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9" fillId="0" borderId="0" xfId="3" applyNumberFormat="1" applyFont="1" applyFill="1" applyAlignment="1">
      <alignment horizontal="center"/>
    </xf>
    <xf numFmtId="164" fontId="9" fillId="0" borderId="0" xfId="3" applyNumberFormat="1" applyFont="1" applyFill="1" applyBorder="1" applyAlignment="1">
      <alignment horizontal="center"/>
    </xf>
    <xf numFmtId="164" fontId="7" fillId="0" borderId="0" xfId="0" applyNumberFormat="1" applyFont="1" applyFill="1" applyAlignment="1" applyProtection="1">
      <alignment horizontal="center"/>
      <protection locked="0"/>
    </xf>
    <xf numFmtId="164" fontId="9" fillId="0" borderId="0" xfId="0" applyNumberFormat="1" applyFont="1" applyFill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4" fillId="0" borderId="0" xfId="3" applyNumberFormat="1" applyFont="1" applyFill="1" applyBorder="1" applyAlignment="1">
      <alignment wrapText="1"/>
    </xf>
    <xf numFmtId="164" fontId="7" fillId="0" borderId="0" xfId="3" applyNumberFormat="1" applyFont="1" applyFill="1" applyAlignment="1">
      <alignment wrapText="1"/>
    </xf>
    <xf numFmtId="164" fontId="7" fillId="0" borderId="0" xfId="3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wrapText="1"/>
    </xf>
    <xf numFmtId="0" fontId="16" fillId="0" borderId="0" xfId="0" applyFont="1" applyFill="1" applyAlignment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4" fontId="18" fillId="4" borderId="1" xfId="0" applyNumberFormat="1" applyFont="1" applyFill="1" applyBorder="1" applyAlignment="1">
      <alignment horizontal="left" wrapText="1"/>
    </xf>
    <xf numFmtId="164" fontId="20" fillId="0" borderId="1" xfId="0" applyNumberFormat="1" applyFont="1" applyFill="1" applyBorder="1" applyAlignment="1">
      <alignment horizontal="left" wrapText="1"/>
    </xf>
    <xf numFmtId="164" fontId="20" fillId="7" borderId="1" xfId="0" applyNumberFormat="1" applyFont="1" applyFill="1" applyBorder="1" applyAlignment="1">
      <alignment horizontal="left" wrapText="1"/>
    </xf>
    <xf numFmtId="164" fontId="18" fillId="2" borderId="1" xfId="0" applyNumberFormat="1" applyFont="1" applyFill="1" applyBorder="1" applyAlignment="1">
      <alignment horizontal="left"/>
    </xf>
    <xf numFmtId="164" fontId="18" fillId="3" borderId="1" xfId="0" applyNumberFormat="1" applyFont="1" applyFill="1" applyBorder="1" applyAlignment="1">
      <alignment horizontal="left"/>
    </xf>
    <xf numFmtId="164" fontId="18" fillId="0" borderId="1" xfId="0" applyNumberFormat="1" applyFont="1" applyFill="1" applyBorder="1" applyAlignment="1">
      <alignment horizontal="left"/>
    </xf>
    <xf numFmtId="164" fontId="18" fillId="0" borderId="1" xfId="0" applyNumberFormat="1" applyFont="1" applyFill="1" applyBorder="1" applyAlignment="1">
      <alignment horizontal="left" wrapText="1"/>
    </xf>
    <xf numFmtId="164" fontId="19" fillId="0" borderId="1" xfId="0" applyNumberFormat="1" applyFont="1" applyFill="1" applyBorder="1" applyAlignment="1">
      <alignment horizontal="left" wrapText="1"/>
    </xf>
    <xf numFmtId="164" fontId="19" fillId="4" borderId="1" xfId="0" applyNumberFormat="1" applyFont="1" applyFill="1" applyBorder="1" applyAlignment="1">
      <alignment wrapText="1"/>
    </xf>
    <xf numFmtId="164" fontId="19" fillId="2" borderId="1" xfId="0" applyNumberFormat="1" applyFont="1" applyFill="1" applyBorder="1" applyAlignment="1">
      <alignment wrapText="1"/>
    </xf>
    <xf numFmtId="164" fontId="19" fillId="3" borderId="1" xfId="0" applyNumberFormat="1" applyFont="1" applyFill="1" applyBorder="1" applyAlignment="1">
      <alignment wrapText="1"/>
    </xf>
    <xf numFmtId="164" fontId="19" fillId="0" borderId="1" xfId="0" applyNumberFormat="1" applyFont="1" applyFill="1" applyBorder="1" applyAlignment="1">
      <alignment wrapText="1"/>
    </xf>
    <xf numFmtId="164" fontId="19" fillId="7" borderId="1" xfId="0" applyNumberFormat="1" applyFont="1" applyFill="1" applyBorder="1" applyAlignment="1">
      <alignment wrapText="1"/>
    </xf>
    <xf numFmtId="0" fontId="1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applyFill="1"/>
    <xf numFmtId="0" fontId="12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wrapText="1"/>
    </xf>
    <xf numFmtId="0" fontId="1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4" fontId="19" fillId="5" borderId="1" xfId="0" applyNumberFormat="1" applyFont="1" applyFill="1" applyBorder="1" applyAlignment="1">
      <alignment horizontal="center" wrapText="1"/>
    </xf>
    <xf numFmtId="164" fontId="20" fillId="2" borderId="1" xfId="0" applyNumberFormat="1" applyFont="1" applyFill="1" applyBorder="1" applyAlignment="1">
      <alignment wrapText="1"/>
    </xf>
    <xf numFmtId="164" fontId="20" fillId="3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164" fontId="19" fillId="6" borderId="1" xfId="0" applyNumberFormat="1" applyFont="1" applyFill="1" applyBorder="1" applyAlignment="1">
      <alignment horizontal="center" wrapText="1"/>
    </xf>
    <xf numFmtId="164" fontId="20" fillId="0" borderId="3" xfId="0" applyNumberFormat="1" applyFont="1" applyFill="1" applyBorder="1" applyAlignment="1">
      <alignment horizontal="left" wrapText="1"/>
    </xf>
    <xf numFmtId="164" fontId="20" fillId="0" borderId="9" xfId="0" applyNumberFormat="1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wrapText="1"/>
    </xf>
    <xf numFmtId="164" fontId="19" fillId="5" borderId="1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 wrapText="1"/>
    </xf>
    <xf numFmtId="164" fontId="21" fillId="6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164" fontId="19" fillId="0" borderId="1" xfId="0" applyNumberFormat="1" applyFont="1" applyFill="1" applyBorder="1" applyAlignment="1">
      <alignment horizontal="center" wrapText="1"/>
    </xf>
    <xf numFmtId="164" fontId="19" fillId="0" borderId="3" xfId="0" applyNumberFormat="1" applyFont="1" applyFill="1" applyBorder="1" applyAlignment="1">
      <alignment wrapText="1"/>
    </xf>
    <xf numFmtId="164" fontId="19" fillId="0" borderId="12" xfId="0" applyNumberFormat="1" applyFont="1" applyFill="1" applyBorder="1" applyAlignment="1">
      <alignment wrapText="1"/>
    </xf>
    <xf numFmtId="164" fontId="22" fillId="0" borderId="4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3" applyNumberFormat="1" applyFont="1" applyFill="1" applyAlignment="1">
      <alignment horizontal="center" wrapText="1"/>
    </xf>
    <xf numFmtId="164" fontId="4" fillId="0" borderId="0" xfId="3" applyNumberFormat="1" applyFont="1" applyFill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3" fillId="0" borderId="1" xfId="3" applyNumberFormat="1" applyFont="1" applyFill="1" applyBorder="1" applyAlignment="1">
      <alignment wrapText="1"/>
    </xf>
    <xf numFmtId="165" fontId="4" fillId="0" borderId="1" xfId="3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64" fontId="7" fillId="0" borderId="0" xfId="3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64" fontId="7" fillId="0" borderId="0" xfId="3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">
    <cellStyle name="Обычный" xfId="0" builtinId="0"/>
    <cellStyle name="Обычный 2 2" xfId="1"/>
    <cellStyle name="Обычный 9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H38"/>
  <sheetViews>
    <sheetView view="pageBreakPreview" zoomScaleSheetLayoutView="100" workbookViewId="0">
      <selection activeCell="H33" sqref="H33:H34"/>
    </sheetView>
  </sheetViews>
  <sheetFormatPr defaultRowHeight="16.5"/>
  <cols>
    <col min="1" max="1" width="2.42578125" style="5" customWidth="1"/>
    <col min="2" max="2" width="7.140625" style="5" customWidth="1"/>
    <col min="3" max="3" width="41" style="5" customWidth="1"/>
    <col min="4" max="4" width="15.28515625" style="5" customWidth="1"/>
    <col min="5" max="5" width="16" style="5" customWidth="1"/>
    <col min="6" max="6" width="15.7109375" style="5" customWidth="1"/>
    <col min="7" max="7" width="11.5703125" style="6" bestFit="1" customWidth="1"/>
    <col min="8" max="8" width="9.42578125" style="6" bestFit="1" customWidth="1"/>
    <col min="9" max="16384" width="9.140625" style="5"/>
  </cols>
  <sheetData>
    <row r="2" spans="2:8" s="3" customFormat="1" ht="16.5" customHeight="1">
      <c r="B2" s="116"/>
      <c r="D2" s="198" t="s">
        <v>4</v>
      </c>
      <c r="E2" s="198"/>
      <c r="F2" s="198"/>
      <c r="G2" s="4"/>
      <c r="H2" s="4"/>
    </row>
    <row r="3" spans="2:8" s="3" customFormat="1" ht="17.25" customHeight="1">
      <c r="B3" s="116"/>
      <c r="D3" s="198" t="s">
        <v>5</v>
      </c>
      <c r="E3" s="198"/>
      <c r="F3" s="198"/>
      <c r="G3" s="4"/>
      <c r="H3" s="4"/>
    </row>
    <row r="4" spans="2:8" s="3" customFormat="1" ht="17.25" customHeight="1">
      <c r="B4" s="116"/>
      <c r="D4" s="198" t="s">
        <v>0</v>
      </c>
      <c r="E4" s="198"/>
      <c r="F4" s="198"/>
      <c r="G4" s="4"/>
      <c r="H4" s="4"/>
    </row>
    <row r="5" spans="2:8" s="3" customFormat="1" ht="17.25" customHeight="1">
      <c r="B5" s="116"/>
      <c r="D5" s="198" t="s">
        <v>93</v>
      </c>
      <c r="E5" s="198"/>
      <c r="F5" s="198"/>
      <c r="G5" s="4"/>
      <c r="H5" s="4"/>
    </row>
    <row r="6" spans="2:8" s="3" customFormat="1">
      <c r="B6" s="116"/>
      <c r="G6" s="4"/>
      <c r="H6" s="4"/>
    </row>
    <row r="7" spans="2:8" s="3" customFormat="1">
      <c r="B7" s="116"/>
      <c r="G7" s="4"/>
      <c r="H7" s="4"/>
    </row>
    <row r="8" spans="2:8" ht="40.5" customHeight="1">
      <c r="B8" s="195" t="s">
        <v>88</v>
      </c>
      <c r="C8" s="195"/>
      <c r="D8" s="195"/>
      <c r="E8" s="195"/>
      <c r="F8" s="195"/>
    </row>
    <row r="10" spans="2:8">
      <c r="F10" s="5" t="s">
        <v>1</v>
      </c>
    </row>
    <row r="11" spans="2:8" ht="24.75" customHeight="1">
      <c r="B11" s="199" t="s">
        <v>6</v>
      </c>
      <c r="C11" s="200" t="s">
        <v>2</v>
      </c>
      <c r="D11" s="200" t="s">
        <v>82</v>
      </c>
      <c r="E11" s="200" t="s">
        <v>7</v>
      </c>
      <c r="F11" s="200"/>
    </row>
    <row r="12" spans="2:8" ht="26.25" customHeight="1">
      <c r="B12" s="199"/>
      <c r="C12" s="200"/>
      <c r="D12" s="200"/>
      <c r="E12" s="190" t="s">
        <v>85</v>
      </c>
      <c r="F12" s="190" t="s">
        <v>89</v>
      </c>
    </row>
    <row r="13" spans="2:8">
      <c r="B13" s="189">
        <v>1</v>
      </c>
      <c r="C13" s="189">
        <v>2</v>
      </c>
      <c r="D13" s="189">
        <v>3</v>
      </c>
      <c r="E13" s="189">
        <v>4</v>
      </c>
      <c r="F13" s="189">
        <v>5</v>
      </c>
    </row>
    <row r="14" spans="2:8" ht="32.25" customHeight="1">
      <c r="B14" s="194" t="s">
        <v>8</v>
      </c>
      <c r="C14" s="7" t="s">
        <v>9</v>
      </c>
      <c r="D14" s="103">
        <f>D16+D20</f>
        <v>776694.9</v>
      </c>
      <c r="E14" s="103">
        <f>E16+E20</f>
        <v>721531.39999999991</v>
      </c>
      <c r="F14" s="103">
        <f>F16+F20</f>
        <v>752477.2</v>
      </c>
      <c r="G14" s="8">
        <v>1.0249999999999999</v>
      </c>
      <c r="H14" s="9">
        <v>1.05</v>
      </c>
    </row>
    <row r="15" spans="2:8" ht="18" customHeight="1">
      <c r="B15" s="117"/>
      <c r="C15" s="5" t="s">
        <v>10</v>
      </c>
      <c r="D15" s="104"/>
      <c r="E15" s="104"/>
      <c r="F15" s="105"/>
    </row>
    <row r="16" spans="2:8" s="10" customFormat="1" ht="21.75" customHeight="1">
      <c r="B16" s="191"/>
      <c r="C16" s="10" t="s">
        <v>11</v>
      </c>
      <c r="D16" s="11">
        <f>(170110.4+98087.4)</f>
        <v>268197.8</v>
      </c>
      <c r="E16" s="11">
        <f>(176575+102099.4)</f>
        <v>278674.40000000002</v>
      </c>
      <c r="F16" s="103">
        <f>(183285+106278.8)</f>
        <v>289563.8</v>
      </c>
      <c r="G16" s="146"/>
      <c r="H16" s="47">
        <v>1.05</v>
      </c>
    </row>
    <row r="17" spans="2:8">
      <c r="B17" s="117"/>
      <c r="C17" s="5" t="s">
        <v>12</v>
      </c>
      <c r="D17" s="104"/>
      <c r="E17" s="104"/>
      <c r="F17" s="105"/>
      <c r="G17" s="8">
        <v>1.0249999999999999</v>
      </c>
      <c r="H17" s="9">
        <v>1.05</v>
      </c>
    </row>
    <row r="18" spans="2:8" s="23" customFormat="1" ht="33" customHeight="1">
      <c r="B18" s="118"/>
      <c r="C18" s="23" t="s">
        <v>13</v>
      </c>
      <c r="D18" s="32">
        <v>0</v>
      </c>
      <c r="E18" s="32">
        <f>D18*G18</f>
        <v>0</v>
      </c>
      <c r="F18" s="29">
        <f>D18*H18</f>
        <v>0</v>
      </c>
      <c r="G18" s="30">
        <v>1.0249999999999999</v>
      </c>
      <c r="H18" s="31">
        <v>1.05</v>
      </c>
    </row>
    <row r="19" spans="2:8">
      <c r="B19" s="117"/>
      <c r="D19" s="104"/>
      <c r="E19" s="104"/>
      <c r="F19" s="105"/>
      <c r="G19" s="8">
        <v>1.0249999999999999</v>
      </c>
      <c r="H19" s="9">
        <v>1.05</v>
      </c>
    </row>
    <row r="20" spans="2:8" s="10" customFormat="1" ht="24.75" customHeight="1">
      <c r="B20" s="191"/>
      <c r="C20" s="10" t="s">
        <v>14</v>
      </c>
      <c r="D20" s="11">
        <f>((138965+25469+343157+6891)+(2475.8+906.1))-2475.8-6891</f>
        <v>508497.10000000003</v>
      </c>
      <c r="E20" s="11">
        <f>((103941.9+0+337999.3+6891)+(2575.5+915.8))-2575.5-6891</f>
        <v>442856.99999999994</v>
      </c>
      <c r="F20" s="103">
        <f>((111425.8+0+350538.8+6891)+(2669.9+948.8))-2669.9-6891</f>
        <v>462913.39999999997</v>
      </c>
      <c r="G20" s="46">
        <v>1.0249999999999999</v>
      </c>
      <c r="H20" s="47">
        <v>1.05</v>
      </c>
    </row>
    <row r="21" spans="2:8" ht="49.5" customHeight="1">
      <c r="B21" s="191" t="s">
        <v>15</v>
      </c>
      <c r="C21" s="10" t="s">
        <v>16</v>
      </c>
      <c r="D21" s="11">
        <f>((304575.4+375517)+(101469.3))-2475.8-6891</f>
        <v>772194.9</v>
      </c>
      <c r="E21" s="11">
        <f>(((270916.9+344890.3)+(105590.7))-2575.5-6891)+9600</f>
        <v>721531.39999999991</v>
      </c>
      <c r="F21" s="103">
        <f>(((294710.8+357429.8)+(109897.5))-2669.9-6891)-9600</f>
        <v>742877.2</v>
      </c>
      <c r="G21" s="8">
        <v>1.0249999999999999</v>
      </c>
      <c r="H21" s="9">
        <v>1.05</v>
      </c>
    </row>
    <row r="22" spans="2:8" ht="47.25" customHeight="1">
      <c r="B22" s="191" t="s">
        <v>17</v>
      </c>
      <c r="C22" s="10" t="s">
        <v>18</v>
      </c>
      <c r="D22" s="11">
        <f>D14-D21</f>
        <v>4500</v>
      </c>
      <c r="E22" s="11">
        <f>E14-E21</f>
        <v>0</v>
      </c>
      <c r="F22" s="11">
        <f>F14-F21</f>
        <v>9600</v>
      </c>
      <c r="G22" s="8">
        <v>1.0249999999999999</v>
      </c>
      <c r="H22" s="9">
        <v>1.05</v>
      </c>
    </row>
    <row r="23" spans="2:8" ht="80.25" customHeight="1">
      <c r="B23" s="191" t="s">
        <v>19</v>
      </c>
      <c r="C23" s="10" t="s">
        <v>20</v>
      </c>
      <c r="D23" s="11">
        <f>D25+D28+D32</f>
        <v>-4500</v>
      </c>
      <c r="E23" s="11">
        <f>E25+E28</f>
        <v>0</v>
      </c>
      <c r="F23" s="11">
        <f>F25+F28</f>
        <v>-9600</v>
      </c>
      <c r="G23" s="8">
        <v>1.0249999999999999</v>
      </c>
      <c r="H23" s="9">
        <v>1.05</v>
      </c>
    </row>
    <row r="24" spans="2:8">
      <c r="B24" s="117"/>
      <c r="C24" s="5" t="s">
        <v>12</v>
      </c>
      <c r="D24" s="104"/>
      <c r="E24" s="104">
        <f>D24*G24</f>
        <v>0</v>
      </c>
      <c r="F24" s="105">
        <f>D24*H24</f>
        <v>0</v>
      </c>
      <c r="G24" s="8">
        <v>1.0249999999999999</v>
      </c>
      <c r="H24" s="9">
        <v>1.05</v>
      </c>
    </row>
    <row r="25" spans="2:8" s="10" customFormat="1" ht="20.25" customHeight="1">
      <c r="B25" s="191"/>
      <c r="C25" s="10" t="s">
        <v>21</v>
      </c>
      <c r="D25" s="11">
        <f>D26+D27</f>
        <v>-4500</v>
      </c>
      <c r="E25" s="11">
        <f>E26+E27</f>
        <v>9600</v>
      </c>
      <c r="F25" s="11">
        <f>F26+F27</f>
        <v>-9600</v>
      </c>
      <c r="G25" s="46">
        <v>1.0249999999999999</v>
      </c>
      <c r="H25" s="47">
        <v>1.05</v>
      </c>
    </row>
    <row r="26" spans="2:8" s="23" customFormat="1" ht="22.5" customHeight="1">
      <c r="C26" s="28" t="s">
        <v>22</v>
      </c>
      <c r="D26" s="32">
        <f>0</f>
        <v>0</v>
      </c>
      <c r="E26" s="32">
        <f>0+9600</f>
        <v>9600</v>
      </c>
      <c r="F26" s="29">
        <f>0</f>
        <v>0</v>
      </c>
      <c r="G26" s="30">
        <v>1.0249999999999999</v>
      </c>
      <c r="H26" s="31">
        <v>1.05</v>
      </c>
    </row>
    <row r="27" spans="2:8" s="23" customFormat="1" ht="21" customHeight="1">
      <c r="C27" s="28" t="s">
        <v>23</v>
      </c>
      <c r="D27" s="32">
        <f>-4500</f>
        <v>-4500</v>
      </c>
      <c r="E27" s="32">
        <f>0</f>
        <v>0</v>
      </c>
      <c r="F27" s="29">
        <f>0-9600</f>
        <v>-9600</v>
      </c>
      <c r="G27" s="30">
        <v>1.0249999999999999</v>
      </c>
      <c r="H27" s="31">
        <v>1.05</v>
      </c>
    </row>
    <row r="28" spans="2:8" s="10" customFormat="1" ht="50.25" customHeight="1">
      <c r="C28" s="10" t="s">
        <v>24</v>
      </c>
      <c r="D28" s="11">
        <f>D29+D30</f>
        <v>0</v>
      </c>
      <c r="E28" s="11">
        <f>E29+E30</f>
        <v>-9600</v>
      </c>
      <c r="F28" s="11">
        <f>F29+F30</f>
        <v>0</v>
      </c>
      <c r="G28" s="46">
        <v>1.0249999999999999</v>
      </c>
      <c r="H28" s="47">
        <v>1.05</v>
      </c>
    </row>
    <row r="29" spans="2:8" s="23" customFormat="1" ht="18.75" customHeight="1">
      <c r="C29" s="23" t="s">
        <v>22</v>
      </c>
      <c r="D29" s="99">
        <f>0</f>
        <v>0</v>
      </c>
      <c r="E29" s="99">
        <f>D29*G29</f>
        <v>0</v>
      </c>
      <c r="F29" s="100">
        <f>0</f>
        <v>0</v>
      </c>
      <c r="G29" s="30">
        <v>1.0249999999999999</v>
      </c>
      <c r="H29" s="31">
        <v>1.05</v>
      </c>
    </row>
    <row r="30" spans="2:8" s="23" customFormat="1" ht="19.5" customHeight="1">
      <c r="C30" s="23" t="s">
        <v>23</v>
      </c>
      <c r="D30" s="99">
        <f>0</f>
        <v>0</v>
      </c>
      <c r="E30" s="99">
        <f>-9600</f>
        <v>-9600</v>
      </c>
      <c r="F30" s="100">
        <f>0</f>
        <v>0</v>
      </c>
      <c r="G30" s="33">
        <v>1.0249999999999999</v>
      </c>
      <c r="H30" s="34">
        <v>1.05</v>
      </c>
    </row>
    <row r="31" spans="2:8" s="10" customFormat="1" ht="49.5" customHeight="1">
      <c r="C31" s="10" t="s">
        <v>45</v>
      </c>
      <c r="D31" s="101">
        <v>0</v>
      </c>
      <c r="E31" s="101">
        <v>0</v>
      </c>
      <c r="F31" s="102">
        <v>0</v>
      </c>
      <c r="G31" s="44"/>
      <c r="H31" s="45"/>
    </row>
    <row r="32" spans="2:8" s="10" customFormat="1" ht="30.75" customHeight="1">
      <c r="C32" s="10" t="s">
        <v>25</v>
      </c>
      <c r="D32" s="101">
        <v>0</v>
      </c>
      <c r="E32" s="101">
        <v>0</v>
      </c>
      <c r="F32" s="102">
        <v>0</v>
      </c>
      <c r="G32" s="44"/>
      <c r="H32" s="45"/>
    </row>
    <row r="33" spans="2:8" s="10" customFormat="1" ht="63.75" customHeight="1">
      <c r="B33" s="191" t="s">
        <v>26</v>
      </c>
      <c r="C33" s="10" t="s">
        <v>27</v>
      </c>
      <c r="D33" s="101">
        <f>D16</f>
        <v>268197.8</v>
      </c>
      <c r="E33" s="101">
        <f>E16</f>
        <v>278674.40000000002</v>
      </c>
      <c r="F33" s="101">
        <f>F16</f>
        <v>289563.8</v>
      </c>
      <c r="G33" s="44">
        <v>1.0249999999999999</v>
      </c>
      <c r="H33" s="45">
        <v>1.05</v>
      </c>
    </row>
    <row r="34" spans="2:8">
      <c r="D34" s="48"/>
      <c r="E34" s="48"/>
      <c r="F34" s="49"/>
      <c r="G34" s="12"/>
      <c r="H34" s="13">
        <v>1.05</v>
      </c>
    </row>
    <row r="35" spans="2:8">
      <c r="C35" s="196" t="s">
        <v>94</v>
      </c>
      <c r="D35" s="197"/>
      <c r="E35" s="197"/>
      <c r="F35" s="197"/>
      <c r="G35" s="14"/>
      <c r="H35" s="14"/>
    </row>
    <row r="36" spans="2:8">
      <c r="C36" s="197"/>
      <c r="D36" s="197"/>
      <c r="E36" s="197"/>
      <c r="F36" s="197"/>
      <c r="G36" s="14"/>
      <c r="H36" s="14"/>
    </row>
    <row r="37" spans="2:8">
      <c r="D37" s="15"/>
      <c r="E37" s="15"/>
      <c r="F37" s="15"/>
      <c r="G37" s="14"/>
      <c r="H37" s="14"/>
    </row>
    <row r="38" spans="2:8">
      <c r="D38" s="15"/>
      <c r="E38" s="15"/>
      <c r="F38" s="15"/>
      <c r="G38" s="14"/>
      <c r="H38" s="14"/>
    </row>
  </sheetData>
  <mergeCells count="10">
    <mergeCell ref="B8:F8"/>
    <mergeCell ref="C35:F36"/>
    <mergeCell ref="D2:F2"/>
    <mergeCell ref="D3:F3"/>
    <mergeCell ref="D4:F4"/>
    <mergeCell ref="D5:F5"/>
    <mergeCell ref="B11:B12"/>
    <mergeCell ref="C11:C12"/>
    <mergeCell ref="D11:D12"/>
    <mergeCell ref="E11:F1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H418"/>
  <sheetViews>
    <sheetView view="pageBreakPreview" topLeftCell="A48" zoomScaleSheetLayoutView="100" workbookViewId="0">
      <selection activeCell="C62" sqref="C62"/>
    </sheetView>
  </sheetViews>
  <sheetFormatPr defaultRowHeight="16.5"/>
  <cols>
    <col min="1" max="1" width="2.28515625" style="16" customWidth="1"/>
    <col min="2" max="2" width="7" style="16" customWidth="1"/>
    <col min="3" max="3" width="49.42578125" style="5" customWidth="1"/>
    <col min="4" max="4" width="14.7109375" style="16" customWidth="1"/>
    <col min="5" max="5" width="15.28515625" style="16" customWidth="1"/>
    <col min="6" max="6" width="16" style="16" customWidth="1"/>
    <col min="7" max="7" width="11.5703125" style="26" bestFit="1" customWidth="1"/>
    <col min="8" max="8" width="9.42578125" style="26" bestFit="1" customWidth="1"/>
    <col min="9" max="16384" width="9.140625" style="16"/>
  </cols>
  <sheetData>
    <row r="2" spans="2:8" s="3" customFormat="1">
      <c r="D2" s="198" t="s">
        <v>28</v>
      </c>
      <c r="E2" s="198"/>
      <c r="F2" s="198"/>
      <c r="G2" s="4"/>
      <c r="H2" s="4"/>
    </row>
    <row r="3" spans="2:8" s="3" customFormat="1">
      <c r="D3" s="198" t="s">
        <v>5</v>
      </c>
      <c r="E3" s="198"/>
      <c r="F3" s="198"/>
      <c r="G3" s="4"/>
      <c r="H3" s="4"/>
    </row>
    <row r="4" spans="2:8" s="3" customFormat="1">
      <c r="D4" s="198" t="s">
        <v>0</v>
      </c>
      <c r="E4" s="198"/>
      <c r="F4" s="198"/>
      <c r="G4" s="4"/>
      <c r="H4" s="4"/>
    </row>
    <row r="5" spans="2:8" s="3" customFormat="1">
      <c r="D5" s="198" t="s">
        <v>95</v>
      </c>
      <c r="E5" s="198"/>
      <c r="F5" s="198"/>
      <c r="G5" s="4"/>
      <c r="H5" s="4"/>
    </row>
    <row r="6" spans="2:8" s="3" customFormat="1">
      <c r="G6" s="4"/>
      <c r="H6" s="4"/>
    </row>
    <row r="8" spans="2:8" ht="54" customHeight="1">
      <c r="B8" s="195" t="s">
        <v>91</v>
      </c>
      <c r="C8" s="195"/>
      <c r="D8" s="195"/>
      <c r="E8" s="195"/>
      <c r="F8" s="195"/>
      <c r="G8" s="135"/>
      <c r="H8" s="135"/>
    </row>
    <row r="9" spans="2:8">
      <c r="B9" s="135"/>
      <c r="C9" s="5" t="s">
        <v>29</v>
      </c>
      <c r="D9" s="135"/>
      <c r="E9" s="135"/>
      <c r="F9" s="135"/>
      <c r="G9" s="135"/>
      <c r="H9" s="135"/>
    </row>
    <row r="10" spans="2:8">
      <c r="B10" s="135"/>
      <c r="C10" s="135"/>
      <c r="D10" s="135"/>
      <c r="E10" s="135"/>
      <c r="F10" s="16" t="s">
        <v>1</v>
      </c>
      <c r="G10" s="135"/>
      <c r="H10" s="135"/>
    </row>
    <row r="11" spans="2:8" s="41" customFormat="1" ht="26.25" customHeight="1">
      <c r="B11" s="202" t="s">
        <v>6</v>
      </c>
      <c r="C11" s="200" t="s">
        <v>2</v>
      </c>
      <c r="D11" s="202" t="s">
        <v>82</v>
      </c>
      <c r="E11" s="202" t="s">
        <v>7</v>
      </c>
      <c r="F11" s="202"/>
      <c r="G11" s="136"/>
      <c r="H11" s="136"/>
    </row>
    <row r="12" spans="2:8" s="41" customFormat="1">
      <c r="B12" s="202"/>
      <c r="C12" s="200"/>
      <c r="D12" s="202"/>
      <c r="E12" s="193" t="s">
        <v>85</v>
      </c>
      <c r="F12" s="193" t="s">
        <v>89</v>
      </c>
      <c r="G12" s="136"/>
      <c r="H12" s="136"/>
    </row>
    <row r="13" spans="2:8" s="41" customFormat="1">
      <c r="B13" s="137">
        <v>1</v>
      </c>
      <c r="C13" s="189">
        <v>2</v>
      </c>
      <c r="D13" s="137">
        <v>3</v>
      </c>
      <c r="E13" s="137">
        <v>4</v>
      </c>
      <c r="F13" s="137">
        <v>5</v>
      </c>
      <c r="G13" s="136"/>
      <c r="H13" s="136"/>
    </row>
    <row r="14" spans="2:8" ht="31.5" customHeight="1">
      <c r="B14" s="17" t="s">
        <v>8</v>
      </c>
      <c r="C14" s="7" t="s">
        <v>9</v>
      </c>
      <c r="D14" s="95">
        <f>D16+D19</f>
        <v>684592.4</v>
      </c>
      <c r="E14" s="95">
        <f>E16+E19</f>
        <v>625407.19999999995</v>
      </c>
      <c r="F14" s="95">
        <f>F16+F19</f>
        <v>652140.6</v>
      </c>
      <c r="G14" s="18">
        <v>1.0249999999999999</v>
      </c>
      <c r="H14" s="19">
        <v>1.05</v>
      </c>
    </row>
    <row r="15" spans="2:8" ht="17.25" customHeight="1">
      <c r="B15" s="20"/>
      <c r="C15" s="5" t="s">
        <v>30</v>
      </c>
      <c r="D15" s="91"/>
      <c r="E15" s="192"/>
      <c r="F15" s="192"/>
      <c r="G15" s="18">
        <v>1.0249999999999999</v>
      </c>
      <c r="H15" s="19">
        <v>1.05</v>
      </c>
    </row>
    <row r="16" spans="2:8" s="41" customFormat="1" ht="17.25" customHeight="1">
      <c r="B16" s="21"/>
      <c r="C16" s="10" t="s">
        <v>11</v>
      </c>
      <c r="D16" s="182">
        <f>(170110.4)</f>
        <v>170110.4</v>
      </c>
      <c r="E16" s="182">
        <f>(176575)</f>
        <v>176575</v>
      </c>
      <c r="F16" s="183">
        <f>(183285)</f>
        <v>183285</v>
      </c>
      <c r="G16" s="39">
        <v>1.0249999999999999</v>
      </c>
      <c r="H16" s="40">
        <v>1.05</v>
      </c>
    </row>
    <row r="17" spans="2:8">
      <c r="B17" s="20"/>
      <c r="C17" s="5" t="s">
        <v>12</v>
      </c>
      <c r="D17" s="91"/>
      <c r="E17" s="192"/>
      <c r="F17" s="192"/>
      <c r="G17" s="18">
        <v>1.0249999999999999</v>
      </c>
      <c r="H17" s="19">
        <v>1.05</v>
      </c>
    </row>
    <row r="18" spans="2:8" s="38" customFormat="1" ht="15.75" hidden="1" customHeight="1">
      <c r="B18" s="35"/>
      <c r="C18" s="23" t="s">
        <v>31</v>
      </c>
      <c r="D18" s="96">
        <v>0</v>
      </c>
      <c r="E18" s="97">
        <f>D18*G18</f>
        <v>0</v>
      </c>
      <c r="F18" s="97">
        <f>E18*G18</f>
        <v>0</v>
      </c>
      <c r="G18" s="36">
        <v>1.0249999999999999</v>
      </c>
      <c r="H18" s="37">
        <v>1.05</v>
      </c>
    </row>
    <row r="19" spans="2:8" s="41" customFormat="1" ht="30" customHeight="1">
      <c r="B19" s="21"/>
      <c r="C19" s="10" t="s">
        <v>14</v>
      </c>
      <c r="D19" s="90">
        <f>D21+D23+D27+D28</f>
        <v>514482</v>
      </c>
      <c r="E19" s="90">
        <f>E21+E23+E27+E28</f>
        <v>448832.19999999995</v>
      </c>
      <c r="F19" s="90">
        <f>F21+F23+F27+F28</f>
        <v>468855.6</v>
      </c>
      <c r="G19" s="39">
        <v>1.0249999999999999</v>
      </c>
      <c r="H19" s="40">
        <v>1.05</v>
      </c>
    </row>
    <row r="20" spans="2:8" ht="18.75" customHeight="1">
      <c r="B20" s="20"/>
      <c r="C20" s="5" t="s">
        <v>30</v>
      </c>
      <c r="D20" s="91"/>
      <c r="E20" s="201"/>
      <c r="F20" s="201"/>
      <c r="G20" s="18">
        <v>1.0249999999999999</v>
      </c>
      <c r="H20" s="19">
        <v>1.05</v>
      </c>
    </row>
    <row r="21" spans="2:8" s="41" customFormat="1" ht="47.25" customHeight="1">
      <c r="B21" s="21"/>
      <c r="C21" s="10" t="s">
        <v>78</v>
      </c>
      <c r="D21" s="90">
        <f>D22</f>
        <v>138965</v>
      </c>
      <c r="E21" s="90">
        <f>E22</f>
        <v>103941.9</v>
      </c>
      <c r="F21" s="90">
        <f>F22</f>
        <v>111425.8</v>
      </c>
      <c r="G21" s="39"/>
      <c r="H21" s="40"/>
    </row>
    <row r="22" spans="2:8" s="38" customFormat="1" ht="36" customHeight="1">
      <c r="B22" s="35"/>
      <c r="C22" s="23" t="s">
        <v>32</v>
      </c>
      <c r="D22" s="96">
        <f>138965</f>
        <v>138965</v>
      </c>
      <c r="E22" s="97">
        <f>103941.9</f>
        <v>103941.9</v>
      </c>
      <c r="F22" s="97">
        <f>111425.8</f>
        <v>111425.8</v>
      </c>
      <c r="G22" s="36"/>
      <c r="H22" s="37"/>
    </row>
    <row r="23" spans="2:8" s="41" customFormat="1" ht="60.75" customHeight="1">
      <c r="B23" s="21"/>
      <c r="C23" s="10" t="s">
        <v>79</v>
      </c>
      <c r="D23" s="90">
        <f>343157</f>
        <v>343157</v>
      </c>
      <c r="E23" s="95">
        <f>337999.3</f>
        <v>337999.3</v>
      </c>
      <c r="F23" s="95">
        <f>350538.8</f>
        <v>350538.8</v>
      </c>
      <c r="G23" s="39"/>
      <c r="H23" s="40"/>
    </row>
    <row r="24" spans="2:8" ht="23.25" customHeight="1">
      <c r="B24" s="20"/>
      <c r="C24" s="5" t="s">
        <v>12</v>
      </c>
      <c r="D24" s="91"/>
      <c r="E24" s="192"/>
      <c r="F24" s="192"/>
      <c r="G24" s="18"/>
      <c r="H24" s="19"/>
    </row>
    <row r="25" spans="2:8" s="38" customFormat="1" ht="44.25" customHeight="1">
      <c r="B25" s="35"/>
      <c r="C25" s="23" t="s">
        <v>39</v>
      </c>
      <c r="D25" s="96">
        <f>2475.8</f>
        <v>2475.8000000000002</v>
      </c>
      <c r="E25" s="97">
        <f>2575.5</f>
        <v>2575.5</v>
      </c>
      <c r="F25" s="97">
        <f>2669.9</f>
        <v>2669.9</v>
      </c>
      <c r="G25" s="36">
        <v>1.0249999999999999</v>
      </c>
      <c r="H25" s="37">
        <v>1.05</v>
      </c>
    </row>
    <row r="26" spans="2:8" s="38" customFormat="1" ht="68.25" hidden="1" customHeight="1">
      <c r="B26" s="35"/>
      <c r="C26" s="23" t="s">
        <v>81</v>
      </c>
      <c r="D26" s="96">
        <f>0</f>
        <v>0</v>
      </c>
      <c r="E26" s="97">
        <f>0</f>
        <v>0</v>
      </c>
      <c r="F26" s="97">
        <f>0</f>
        <v>0</v>
      </c>
      <c r="G26" s="36"/>
      <c r="H26" s="37"/>
    </row>
    <row r="27" spans="2:8" s="41" customFormat="1" ht="59.25" customHeight="1">
      <c r="B27" s="21"/>
      <c r="C27" s="10" t="s">
        <v>80</v>
      </c>
      <c r="D27" s="90">
        <f>25469</f>
        <v>25469</v>
      </c>
      <c r="E27" s="95">
        <f>0</f>
        <v>0</v>
      </c>
      <c r="F27" s="95">
        <f>0</f>
        <v>0</v>
      </c>
      <c r="G27" s="39">
        <v>1.0249999999999999</v>
      </c>
      <c r="H27" s="40">
        <v>1.05</v>
      </c>
    </row>
    <row r="28" spans="2:8" s="41" customFormat="1" ht="41.25" customHeight="1">
      <c r="B28" s="21"/>
      <c r="C28" s="10" t="s">
        <v>3</v>
      </c>
      <c r="D28" s="90">
        <f>191+6700</f>
        <v>6891</v>
      </c>
      <c r="E28" s="90">
        <f>191+6700</f>
        <v>6891</v>
      </c>
      <c r="F28" s="90">
        <f>191+6700</f>
        <v>6891</v>
      </c>
      <c r="G28" s="39"/>
      <c r="H28" s="40"/>
    </row>
    <row r="29" spans="2:8" ht="21.75" customHeight="1">
      <c r="B29" s="20"/>
      <c r="C29" s="5" t="s">
        <v>12</v>
      </c>
      <c r="D29" s="91"/>
      <c r="E29" s="192"/>
      <c r="F29" s="192"/>
      <c r="G29" s="18"/>
      <c r="H29" s="19"/>
    </row>
    <row r="30" spans="2:8" s="38" customFormat="1" ht="104.25" customHeight="1">
      <c r="B30" s="35"/>
      <c r="C30" s="23" t="s">
        <v>33</v>
      </c>
      <c r="D30" s="90">
        <f>191+6700</f>
        <v>6891</v>
      </c>
      <c r="E30" s="90">
        <f>191+6700</f>
        <v>6891</v>
      </c>
      <c r="F30" s="90">
        <f>191+6700</f>
        <v>6891</v>
      </c>
      <c r="G30" s="36"/>
      <c r="H30" s="37"/>
    </row>
    <row r="31" spans="2:8" ht="39" customHeight="1">
      <c r="B31" s="21" t="s">
        <v>15</v>
      </c>
      <c r="C31" s="10" t="s">
        <v>16</v>
      </c>
      <c r="D31" s="90">
        <f>304575.4+375517</f>
        <v>680092.4</v>
      </c>
      <c r="E31" s="95">
        <f>(270916.9+344890.3)+9600</f>
        <v>625407.19999999995</v>
      </c>
      <c r="F31" s="95">
        <f>(294710.8+357429.8)-9600</f>
        <v>642540.6</v>
      </c>
      <c r="G31" s="18">
        <v>1.0249999999999999</v>
      </c>
      <c r="H31" s="19">
        <v>1.05</v>
      </c>
    </row>
    <row r="32" spans="2:8" ht="18" customHeight="1">
      <c r="B32" s="20"/>
      <c r="C32" s="5" t="s">
        <v>30</v>
      </c>
      <c r="D32" s="91"/>
      <c r="E32" s="192"/>
      <c r="F32" s="192"/>
      <c r="G32" s="18">
        <v>1.0249999999999999</v>
      </c>
      <c r="H32" s="19">
        <v>1.05</v>
      </c>
    </row>
    <row r="33" spans="2:8" s="41" customFormat="1" ht="50.25" customHeight="1">
      <c r="B33" s="21"/>
      <c r="C33" s="10" t="s">
        <v>40</v>
      </c>
      <c r="D33" s="90">
        <f>D35+D38+D39</f>
        <v>2475.8000000000002</v>
      </c>
      <c r="E33" s="90">
        <f>E35+E38+E39</f>
        <v>2575.5</v>
      </c>
      <c r="F33" s="90">
        <f>F35+F38+F39</f>
        <v>2669.9</v>
      </c>
      <c r="G33" s="39">
        <v>1.0249999999999999</v>
      </c>
      <c r="H33" s="40">
        <v>1.05</v>
      </c>
    </row>
    <row r="34" spans="2:8">
      <c r="B34" s="20"/>
      <c r="C34" s="5" t="s">
        <v>12</v>
      </c>
      <c r="D34" s="91"/>
      <c r="E34" s="91"/>
      <c r="F34" s="91"/>
      <c r="G34" s="18">
        <v>1.0249999999999999</v>
      </c>
      <c r="H34" s="19">
        <v>1.05</v>
      </c>
    </row>
    <row r="35" spans="2:8" s="41" customFormat="1" ht="66.75" customHeight="1">
      <c r="B35" s="21"/>
      <c r="C35" s="133" t="s">
        <v>46</v>
      </c>
      <c r="D35" s="90">
        <f>D36+D37</f>
        <v>2475.8000000000002</v>
      </c>
      <c r="E35" s="90">
        <f>E36+E37</f>
        <v>2575.5</v>
      </c>
      <c r="F35" s="90">
        <f>F36+F37</f>
        <v>2669.9</v>
      </c>
      <c r="G35" s="39">
        <v>1.0249999999999999</v>
      </c>
      <c r="H35" s="40">
        <v>1.05</v>
      </c>
    </row>
    <row r="36" spans="2:8" ht="33.75" customHeight="1">
      <c r="B36" s="20"/>
      <c r="C36" s="22" t="s">
        <v>34</v>
      </c>
      <c r="D36" s="96">
        <f>D25</f>
        <v>2475.8000000000002</v>
      </c>
      <c r="E36" s="96">
        <f>E25</f>
        <v>2575.5</v>
      </c>
      <c r="F36" s="96">
        <f>F25</f>
        <v>2669.9</v>
      </c>
      <c r="G36" s="18">
        <v>1.0249999999999999</v>
      </c>
      <c r="H36" s="19">
        <v>1.05</v>
      </c>
    </row>
    <row r="37" spans="2:8" ht="38.25" hidden="1" customHeight="1">
      <c r="B37" s="20"/>
      <c r="C37" s="22" t="s">
        <v>35</v>
      </c>
      <c r="D37" s="96">
        <f>0</f>
        <v>0</v>
      </c>
      <c r="E37" s="96">
        <f>0</f>
        <v>0</v>
      </c>
      <c r="F37" s="96">
        <f>0</f>
        <v>0</v>
      </c>
      <c r="G37" s="18"/>
      <c r="H37" s="19"/>
    </row>
    <row r="38" spans="2:8" s="41" customFormat="1" ht="67.5" hidden="1" customHeight="1">
      <c r="B38" s="21"/>
      <c r="C38" s="10" t="s">
        <v>81</v>
      </c>
      <c r="D38" s="90"/>
      <c r="E38" s="90"/>
      <c r="F38" s="90"/>
      <c r="G38" s="39"/>
      <c r="H38" s="40"/>
    </row>
    <row r="39" spans="2:8" ht="52.5" customHeight="1">
      <c r="B39" s="20"/>
      <c r="C39" s="42" t="s">
        <v>41</v>
      </c>
      <c r="D39" s="90">
        <f>0</f>
        <v>0</v>
      </c>
      <c r="E39" s="90">
        <f>0</f>
        <v>0</v>
      </c>
      <c r="F39" s="90">
        <f>0</f>
        <v>0</v>
      </c>
      <c r="G39" s="18">
        <v>1.0249999999999999</v>
      </c>
      <c r="H39" s="19"/>
    </row>
    <row r="40" spans="2:8" ht="8.25" customHeight="1">
      <c r="B40" s="20"/>
      <c r="C40" s="15"/>
      <c r="D40" s="91"/>
      <c r="E40" s="91"/>
      <c r="F40" s="91"/>
      <c r="G40" s="18">
        <v>1.0249999999999999</v>
      </c>
      <c r="H40" s="19">
        <v>1.05</v>
      </c>
    </row>
    <row r="41" spans="2:8" ht="26.25" customHeight="1">
      <c r="B41" s="21" t="s">
        <v>17</v>
      </c>
      <c r="C41" s="10" t="s">
        <v>18</v>
      </c>
      <c r="D41" s="90">
        <f>D14-D31</f>
        <v>4500</v>
      </c>
      <c r="E41" s="90">
        <f>E14-E31</f>
        <v>0</v>
      </c>
      <c r="F41" s="90">
        <f>F14-F31</f>
        <v>9600</v>
      </c>
      <c r="G41" s="18">
        <v>1.0249999999999999</v>
      </c>
      <c r="H41" s="19">
        <v>1.05</v>
      </c>
    </row>
    <row r="42" spans="2:8" ht="50.25" customHeight="1">
      <c r="B42" s="21" t="s">
        <v>19</v>
      </c>
      <c r="C42" s="10" t="s">
        <v>36</v>
      </c>
      <c r="D42" s="90">
        <f>D44+D47+D50+D53+D54</f>
        <v>-4500</v>
      </c>
      <c r="E42" s="90">
        <f>E44+E47+E50+E53+E54</f>
        <v>0</v>
      </c>
      <c r="F42" s="90">
        <f>F44+F47+F50+F53+F54</f>
        <v>-9600</v>
      </c>
      <c r="G42" s="18">
        <v>1.0249999999999999</v>
      </c>
      <c r="H42" s="19">
        <v>1.05</v>
      </c>
    </row>
    <row r="43" spans="2:8">
      <c r="B43" s="20"/>
      <c r="C43" s="5" t="s">
        <v>12</v>
      </c>
      <c r="D43" s="91"/>
      <c r="E43" s="91"/>
      <c r="F43" s="91"/>
      <c r="G43" s="18">
        <v>1.0249999999999999</v>
      </c>
      <c r="H43" s="19">
        <v>1.05</v>
      </c>
    </row>
    <row r="44" spans="2:8" s="41" customFormat="1" ht="24" customHeight="1">
      <c r="B44" s="21"/>
      <c r="C44" s="10" t="s">
        <v>42</v>
      </c>
      <c r="D44" s="90">
        <f>D45+D46</f>
        <v>-4500</v>
      </c>
      <c r="E44" s="90">
        <f>E45+E46</f>
        <v>9600</v>
      </c>
      <c r="F44" s="90">
        <f>F45+F46</f>
        <v>-9600</v>
      </c>
      <c r="G44" s="39">
        <v>1.0249999999999999</v>
      </c>
      <c r="H44" s="40">
        <v>1.05</v>
      </c>
    </row>
    <row r="45" spans="2:8" ht="27.75" customHeight="1">
      <c r="B45" s="20"/>
      <c r="C45" s="23" t="s">
        <v>22</v>
      </c>
      <c r="D45" s="91">
        <f>0</f>
        <v>0</v>
      </c>
      <c r="E45" s="91">
        <f>0+9600</f>
        <v>9600</v>
      </c>
      <c r="F45" s="91">
        <f>0</f>
        <v>0</v>
      </c>
      <c r="G45" s="18">
        <v>1.0249999999999999</v>
      </c>
      <c r="H45" s="19">
        <v>1.05</v>
      </c>
    </row>
    <row r="46" spans="2:8" ht="24" customHeight="1">
      <c r="B46" s="20"/>
      <c r="C46" s="23" t="s">
        <v>23</v>
      </c>
      <c r="D46" s="91">
        <f>-4500</f>
        <v>-4500</v>
      </c>
      <c r="E46" s="91">
        <f>0</f>
        <v>0</v>
      </c>
      <c r="F46" s="91">
        <f>0-9600</f>
        <v>-9600</v>
      </c>
      <c r="G46" s="18">
        <v>1.0249999999999999</v>
      </c>
      <c r="H46" s="19">
        <v>1.05</v>
      </c>
    </row>
    <row r="47" spans="2:8" s="41" customFormat="1" ht="56.25" customHeight="1">
      <c r="B47" s="21"/>
      <c r="C47" s="10" t="s">
        <v>43</v>
      </c>
      <c r="D47" s="93">
        <f>D48+D49</f>
        <v>0</v>
      </c>
      <c r="E47" s="93">
        <f>E48+E49</f>
        <v>-9600</v>
      </c>
      <c r="F47" s="93">
        <f>F48+F49</f>
        <v>0</v>
      </c>
      <c r="G47" s="39">
        <v>1.0249999999999999</v>
      </c>
      <c r="H47" s="40">
        <v>1.05</v>
      </c>
    </row>
    <row r="48" spans="2:8" ht="18" customHeight="1">
      <c r="B48" s="20"/>
      <c r="C48" s="23" t="s">
        <v>22</v>
      </c>
      <c r="D48" s="92">
        <v>0</v>
      </c>
      <c r="E48" s="92">
        <v>0</v>
      </c>
      <c r="F48" s="92">
        <v>0</v>
      </c>
      <c r="G48" s="18">
        <v>1.0249999999999999</v>
      </c>
      <c r="H48" s="19">
        <v>1.05</v>
      </c>
    </row>
    <row r="49" spans="2:8" ht="19.5" customHeight="1">
      <c r="B49" s="20"/>
      <c r="C49" s="23" t="s">
        <v>23</v>
      </c>
      <c r="D49" s="98">
        <f>0</f>
        <v>0</v>
      </c>
      <c r="E49" s="92">
        <f>-9600</f>
        <v>-9600</v>
      </c>
      <c r="F49" s="92">
        <f>0</f>
        <v>0</v>
      </c>
      <c r="G49" s="18">
        <v>1.0249999999999999</v>
      </c>
      <c r="H49" s="19">
        <v>1.05</v>
      </c>
    </row>
    <row r="50" spans="2:8" s="41" customFormat="1" ht="31.5" customHeight="1">
      <c r="B50" s="21"/>
      <c r="C50" s="10" t="s">
        <v>44</v>
      </c>
      <c r="D50" s="93">
        <v>0</v>
      </c>
      <c r="E50" s="93">
        <v>0</v>
      </c>
      <c r="F50" s="93">
        <v>0</v>
      </c>
      <c r="G50" s="43">
        <v>1.0249999999999999</v>
      </c>
      <c r="H50" s="40">
        <v>1.05</v>
      </c>
    </row>
    <row r="51" spans="2:8" ht="18.75" customHeight="1">
      <c r="B51" s="20"/>
      <c r="C51" s="23" t="s">
        <v>37</v>
      </c>
      <c r="D51" s="92"/>
      <c r="E51" s="92"/>
      <c r="F51" s="92"/>
      <c r="G51" s="24">
        <v>1.0249999999999999</v>
      </c>
      <c r="H51" s="19">
        <v>1.05</v>
      </c>
    </row>
    <row r="52" spans="2:8" ht="21" customHeight="1">
      <c r="B52" s="20"/>
      <c r="C52" s="23" t="s">
        <v>38</v>
      </c>
      <c r="D52" s="92"/>
      <c r="E52" s="92"/>
      <c r="F52" s="92"/>
      <c r="G52" s="24">
        <v>1.0249999999999999</v>
      </c>
      <c r="H52" s="19">
        <v>1.05</v>
      </c>
    </row>
    <row r="53" spans="2:8" s="41" customFormat="1" ht="37.5" customHeight="1">
      <c r="B53" s="21"/>
      <c r="C53" s="10" t="s">
        <v>45</v>
      </c>
      <c r="D53" s="94"/>
      <c r="E53" s="94"/>
      <c r="F53" s="94"/>
      <c r="G53" s="43">
        <v>1.0249999999999999</v>
      </c>
      <c r="H53" s="40">
        <v>1.05</v>
      </c>
    </row>
    <row r="54" spans="2:8" s="41" customFormat="1" ht="32.25" customHeight="1">
      <c r="B54" s="21"/>
      <c r="C54" s="10" t="s">
        <v>25</v>
      </c>
      <c r="D54" s="94">
        <f>0</f>
        <v>0</v>
      </c>
      <c r="E54" s="94">
        <f>0</f>
        <v>0</v>
      </c>
      <c r="F54" s="94">
        <f>0</f>
        <v>0</v>
      </c>
      <c r="G54" s="43"/>
      <c r="H54" s="40"/>
    </row>
    <row r="55" spans="2:8" ht="8.25" customHeight="1">
      <c r="B55" s="20"/>
      <c r="D55" s="92"/>
      <c r="E55" s="92"/>
      <c r="F55" s="92"/>
      <c r="G55" s="24">
        <v>1.0249999999999999</v>
      </c>
      <c r="H55" s="19">
        <v>1.05</v>
      </c>
    </row>
    <row r="56" spans="2:8" s="41" customFormat="1" ht="37.5" customHeight="1">
      <c r="B56" s="21" t="s">
        <v>26</v>
      </c>
      <c r="C56" s="10" t="s">
        <v>77</v>
      </c>
      <c r="D56" s="94">
        <f>D16</f>
        <v>170110.4</v>
      </c>
      <c r="E56" s="94">
        <f>E16</f>
        <v>176575</v>
      </c>
      <c r="F56" s="94">
        <f>F16</f>
        <v>183285</v>
      </c>
      <c r="G56" s="43">
        <v>1.0249999999999999</v>
      </c>
      <c r="H56" s="40">
        <v>1.05</v>
      </c>
    </row>
    <row r="57" spans="2:8">
      <c r="B57" s="20"/>
      <c r="D57" s="27"/>
      <c r="E57" s="27"/>
      <c r="F57" s="27"/>
      <c r="G57" s="24">
        <v>1.0249999999999999</v>
      </c>
      <c r="H57" s="19">
        <v>1.05</v>
      </c>
    </row>
    <row r="58" spans="2:8">
      <c r="B58" s="20"/>
      <c r="C58" s="111"/>
      <c r="D58" s="112"/>
      <c r="E58" s="112"/>
      <c r="F58" s="50"/>
      <c r="H58" s="19">
        <v>1.05</v>
      </c>
    </row>
    <row r="59" spans="2:8">
      <c r="C59" s="196" t="s">
        <v>96</v>
      </c>
      <c r="D59" s="196"/>
      <c r="E59" s="196"/>
      <c r="F59" s="196"/>
    </row>
    <row r="60" spans="2:8">
      <c r="C60" s="196"/>
      <c r="D60" s="196"/>
      <c r="E60" s="196"/>
      <c r="F60" s="196"/>
    </row>
    <row r="61" spans="2:8">
      <c r="C61" s="111"/>
      <c r="D61" s="113"/>
      <c r="E61" s="113"/>
      <c r="F61" s="25"/>
    </row>
    <row r="62" spans="2:8">
      <c r="C62" s="111"/>
      <c r="D62" s="108">
        <v>13102</v>
      </c>
      <c r="E62" s="113"/>
      <c r="F62" s="25"/>
    </row>
    <row r="63" spans="2:8">
      <c r="C63" s="111"/>
      <c r="D63" s="109">
        <v>19.7</v>
      </c>
      <c r="E63" s="115"/>
      <c r="F63" s="27"/>
    </row>
    <row r="64" spans="2:8">
      <c r="C64" s="111"/>
      <c r="D64" s="109"/>
      <c r="E64" s="115"/>
      <c r="F64" s="27"/>
    </row>
    <row r="65" spans="3:6">
      <c r="C65" s="111"/>
      <c r="D65" s="110">
        <v>100579.4</v>
      </c>
      <c r="E65" s="115"/>
      <c r="F65" s="27"/>
    </row>
    <row r="66" spans="3:6">
      <c r="C66" s="111"/>
      <c r="D66" s="110">
        <v>239368.7</v>
      </c>
      <c r="E66" s="115"/>
      <c r="F66" s="27"/>
    </row>
    <row r="67" spans="3:6">
      <c r="C67" s="111"/>
      <c r="D67" s="110">
        <v>11588.2</v>
      </c>
      <c r="E67" s="115"/>
      <c r="F67" s="27"/>
    </row>
    <row r="68" spans="3:6">
      <c r="C68" s="111"/>
      <c r="D68" s="110">
        <v>115.9</v>
      </c>
      <c r="E68" s="115"/>
      <c r="F68" s="27"/>
    </row>
    <row r="69" spans="3:6">
      <c r="C69" s="111"/>
      <c r="D69" s="110">
        <v>5098.5</v>
      </c>
      <c r="E69" s="115"/>
      <c r="F69" s="27"/>
    </row>
    <row r="70" spans="3:6">
      <c r="C70" s="111"/>
      <c r="D70" s="109">
        <v>650.6</v>
      </c>
      <c r="E70" s="115"/>
      <c r="F70" s="27"/>
    </row>
    <row r="71" spans="3:6">
      <c r="C71" s="111"/>
      <c r="D71" s="109">
        <v>410.3</v>
      </c>
      <c r="E71" s="115"/>
      <c r="F71" s="27"/>
    </row>
    <row r="72" spans="3:6">
      <c r="C72" s="111"/>
      <c r="D72" s="110">
        <v>3183.9</v>
      </c>
      <c r="E72" s="115"/>
      <c r="F72" s="27"/>
    </row>
    <row r="73" spans="3:6">
      <c r="C73" s="111"/>
      <c r="D73" s="109">
        <v>283.3</v>
      </c>
      <c r="E73" s="115"/>
      <c r="F73" s="27"/>
    </row>
    <row r="74" spans="3:6">
      <c r="C74" s="111"/>
      <c r="D74" s="109">
        <v>640.5</v>
      </c>
      <c r="E74" s="115"/>
      <c r="F74" s="27"/>
    </row>
    <row r="75" spans="3:6">
      <c r="C75" s="111"/>
      <c r="D75" s="109">
        <v>441.5</v>
      </c>
      <c r="E75" s="115"/>
      <c r="F75" s="27"/>
    </row>
    <row r="76" spans="3:6">
      <c r="C76" s="111"/>
      <c r="D76" s="109">
        <v>905.1</v>
      </c>
      <c r="E76" s="115"/>
      <c r="F76" s="27"/>
    </row>
    <row r="77" spans="3:6">
      <c r="C77" s="111"/>
      <c r="D77" s="109">
        <v>224</v>
      </c>
      <c r="E77" s="115"/>
      <c r="F77" s="27"/>
    </row>
    <row r="78" spans="3:6">
      <c r="C78" s="111"/>
      <c r="D78" s="109">
        <v>236.1</v>
      </c>
      <c r="E78" s="115"/>
      <c r="F78" s="27"/>
    </row>
    <row r="79" spans="3:6">
      <c r="C79" s="111"/>
      <c r="D79" s="109">
        <v>224.2</v>
      </c>
      <c r="E79" s="115"/>
      <c r="F79" s="27"/>
    </row>
    <row r="80" spans="3:6">
      <c r="C80" s="111"/>
      <c r="D80" s="109">
        <v>12830.4</v>
      </c>
      <c r="E80" s="115"/>
      <c r="F80" s="27"/>
    </row>
    <row r="81" spans="3:6">
      <c r="C81" s="111"/>
      <c r="D81" s="109">
        <v>652</v>
      </c>
      <c r="E81" s="115"/>
      <c r="F81" s="27"/>
    </row>
    <row r="82" spans="3:6">
      <c r="C82" s="111"/>
      <c r="D82" s="109">
        <v>2349.5</v>
      </c>
      <c r="E82" s="115"/>
      <c r="F82" s="27"/>
    </row>
    <row r="83" spans="3:6">
      <c r="C83" s="111"/>
      <c r="D83" s="114"/>
      <c r="E83" s="115"/>
      <c r="F83" s="27"/>
    </row>
    <row r="84" spans="3:6">
      <c r="C84" s="111"/>
      <c r="D84" s="114"/>
      <c r="E84" s="115"/>
      <c r="F84" s="27"/>
    </row>
    <row r="85" spans="3:6">
      <c r="C85" s="111"/>
      <c r="D85" s="114"/>
      <c r="E85" s="115"/>
      <c r="F85" s="27"/>
    </row>
    <row r="86" spans="3:6">
      <c r="C86" s="111"/>
      <c r="D86" s="114"/>
      <c r="E86" s="115"/>
      <c r="F86" s="27"/>
    </row>
    <row r="87" spans="3:6">
      <c r="C87" s="111"/>
      <c r="D87" s="114"/>
      <c r="E87" s="115"/>
      <c r="F87" s="27"/>
    </row>
    <row r="88" spans="3:6">
      <c r="C88" s="111"/>
      <c r="D88" s="114"/>
      <c r="E88" s="115"/>
      <c r="F88" s="27"/>
    </row>
    <row r="89" spans="3:6">
      <c r="C89" s="111"/>
      <c r="D89" s="114"/>
      <c r="E89" s="115"/>
      <c r="F89" s="27"/>
    </row>
    <row r="90" spans="3:6">
      <c r="C90" s="111"/>
      <c r="D90" s="114"/>
      <c r="E90" s="115"/>
      <c r="F90" s="27"/>
    </row>
    <row r="91" spans="3:6">
      <c r="C91" s="111"/>
      <c r="D91" s="114"/>
      <c r="E91" s="115"/>
      <c r="F91" s="27"/>
    </row>
    <row r="92" spans="3:6">
      <c r="C92" s="111"/>
      <c r="D92" s="114"/>
      <c r="E92" s="115"/>
      <c r="F92" s="27"/>
    </row>
    <row r="93" spans="3:6">
      <c r="C93" s="111"/>
      <c r="D93" s="114"/>
      <c r="E93" s="115"/>
      <c r="F93" s="27"/>
    </row>
    <row r="94" spans="3:6">
      <c r="C94" s="111"/>
      <c r="D94" s="114"/>
      <c r="E94" s="115"/>
      <c r="F94" s="27"/>
    </row>
    <row r="95" spans="3:6">
      <c r="E95" s="27"/>
      <c r="F95" s="27"/>
    </row>
    <row r="96" spans="3:6">
      <c r="E96" s="27"/>
      <c r="F96" s="27"/>
    </row>
    <row r="97" spans="5:6">
      <c r="E97" s="27"/>
      <c r="F97" s="27"/>
    </row>
    <row r="98" spans="5:6">
      <c r="E98" s="27"/>
      <c r="F98" s="27"/>
    </row>
    <row r="99" spans="5:6">
      <c r="E99" s="27"/>
      <c r="F99" s="27"/>
    </row>
    <row r="100" spans="5:6">
      <c r="E100" s="27"/>
      <c r="F100" s="27"/>
    </row>
    <row r="101" spans="5:6">
      <c r="E101" s="27"/>
      <c r="F101" s="27"/>
    </row>
    <row r="102" spans="5:6">
      <c r="E102" s="27"/>
      <c r="F102" s="27"/>
    </row>
    <row r="103" spans="5:6">
      <c r="E103" s="27"/>
      <c r="F103" s="27"/>
    </row>
    <row r="104" spans="5:6">
      <c r="E104" s="27"/>
      <c r="F104" s="27"/>
    </row>
    <row r="105" spans="5:6">
      <c r="E105" s="27"/>
      <c r="F105" s="27"/>
    </row>
    <row r="106" spans="5:6">
      <c r="E106" s="27"/>
      <c r="F106" s="27"/>
    </row>
    <row r="107" spans="5:6">
      <c r="E107" s="27"/>
      <c r="F107" s="27"/>
    </row>
    <row r="108" spans="5:6">
      <c r="E108" s="27"/>
      <c r="F108" s="27"/>
    </row>
    <row r="109" spans="5:6">
      <c r="E109" s="27"/>
      <c r="F109" s="27"/>
    </row>
    <row r="110" spans="5:6">
      <c r="E110" s="27"/>
      <c r="F110" s="27"/>
    </row>
    <row r="111" spans="5:6">
      <c r="E111" s="27"/>
      <c r="F111" s="27"/>
    </row>
    <row r="112" spans="5:6">
      <c r="E112" s="27"/>
      <c r="F112" s="27"/>
    </row>
    <row r="113" spans="5:6">
      <c r="E113" s="27"/>
      <c r="F113" s="27"/>
    </row>
    <row r="114" spans="5:6">
      <c r="E114" s="27"/>
      <c r="F114" s="27"/>
    </row>
    <row r="115" spans="5:6">
      <c r="E115" s="27"/>
      <c r="F115" s="27"/>
    </row>
    <row r="116" spans="5:6">
      <c r="E116" s="27"/>
      <c r="F116" s="27"/>
    </row>
    <row r="117" spans="5:6">
      <c r="E117" s="27"/>
      <c r="F117" s="27"/>
    </row>
    <row r="118" spans="5:6">
      <c r="E118" s="27"/>
      <c r="F118" s="27"/>
    </row>
    <row r="119" spans="5:6">
      <c r="E119" s="27"/>
      <c r="F119" s="27"/>
    </row>
    <row r="120" spans="5:6">
      <c r="E120" s="27"/>
      <c r="F120" s="27"/>
    </row>
    <row r="121" spans="5:6">
      <c r="E121" s="27"/>
      <c r="F121" s="27"/>
    </row>
    <row r="122" spans="5:6">
      <c r="E122" s="27"/>
      <c r="F122" s="27"/>
    </row>
    <row r="123" spans="5:6">
      <c r="E123" s="27"/>
      <c r="F123" s="27"/>
    </row>
    <row r="124" spans="5:6">
      <c r="E124" s="27"/>
      <c r="F124" s="27"/>
    </row>
    <row r="125" spans="5:6">
      <c r="E125" s="27"/>
      <c r="F125" s="27"/>
    </row>
    <row r="126" spans="5:6">
      <c r="E126" s="27"/>
      <c r="F126" s="27"/>
    </row>
    <row r="127" spans="5:6">
      <c r="E127" s="27"/>
      <c r="F127" s="27"/>
    </row>
    <row r="128" spans="5:6">
      <c r="E128" s="27"/>
      <c r="F128" s="27"/>
    </row>
    <row r="129" spans="5:6">
      <c r="E129" s="27"/>
      <c r="F129" s="27"/>
    </row>
    <row r="130" spans="5:6">
      <c r="E130" s="27"/>
      <c r="F130" s="27"/>
    </row>
    <row r="131" spans="5:6">
      <c r="E131" s="27"/>
      <c r="F131" s="27"/>
    </row>
    <row r="132" spans="5:6">
      <c r="E132" s="27"/>
      <c r="F132" s="27"/>
    </row>
    <row r="133" spans="5:6">
      <c r="E133" s="27"/>
      <c r="F133" s="27"/>
    </row>
    <row r="134" spans="5:6">
      <c r="E134" s="27"/>
      <c r="F134" s="27"/>
    </row>
    <row r="135" spans="5:6">
      <c r="E135" s="27"/>
      <c r="F135" s="27"/>
    </row>
    <row r="136" spans="5:6">
      <c r="E136" s="27"/>
      <c r="F136" s="27"/>
    </row>
    <row r="137" spans="5:6">
      <c r="E137" s="27"/>
      <c r="F137" s="27"/>
    </row>
    <row r="138" spans="5:6">
      <c r="E138" s="27"/>
      <c r="F138" s="27"/>
    </row>
    <row r="139" spans="5:6">
      <c r="E139" s="27"/>
      <c r="F139" s="27"/>
    </row>
    <row r="140" spans="5:6">
      <c r="E140" s="27"/>
      <c r="F140" s="27"/>
    </row>
    <row r="141" spans="5:6">
      <c r="E141" s="27"/>
      <c r="F141" s="27"/>
    </row>
    <row r="142" spans="5:6">
      <c r="E142" s="27"/>
      <c r="F142" s="27"/>
    </row>
    <row r="143" spans="5:6">
      <c r="E143" s="27"/>
      <c r="F143" s="27"/>
    </row>
    <row r="144" spans="5:6">
      <c r="E144" s="27"/>
      <c r="F144" s="27"/>
    </row>
    <row r="145" spans="5:6">
      <c r="E145" s="27"/>
      <c r="F145" s="27"/>
    </row>
    <row r="146" spans="5:6">
      <c r="E146" s="27"/>
      <c r="F146" s="27"/>
    </row>
    <row r="147" spans="5:6">
      <c r="E147" s="27"/>
      <c r="F147" s="27"/>
    </row>
    <row r="148" spans="5:6">
      <c r="E148" s="27"/>
      <c r="F148" s="27"/>
    </row>
    <row r="149" spans="5:6">
      <c r="E149" s="27"/>
      <c r="F149" s="27"/>
    </row>
    <row r="150" spans="5:6">
      <c r="E150" s="27"/>
      <c r="F150" s="27"/>
    </row>
    <row r="151" spans="5:6">
      <c r="E151" s="27"/>
      <c r="F151" s="27"/>
    </row>
    <row r="152" spans="5:6">
      <c r="E152" s="27"/>
      <c r="F152" s="27"/>
    </row>
    <row r="153" spans="5:6">
      <c r="E153" s="27"/>
      <c r="F153" s="27"/>
    </row>
    <row r="154" spans="5:6">
      <c r="E154" s="27"/>
      <c r="F154" s="27"/>
    </row>
    <row r="155" spans="5:6">
      <c r="E155" s="27"/>
      <c r="F155" s="27"/>
    </row>
    <row r="156" spans="5:6">
      <c r="E156" s="27"/>
      <c r="F156" s="27"/>
    </row>
    <row r="157" spans="5:6">
      <c r="E157" s="27"/>
      <c r="F157" s="27"/>
    </row>
    <row r="158" spans="5:6">
      <c r="E158" s="27"/>
      <c r="F158" s="27"/>
    </row>
    <row r="159" spans="5:6">
      <c r="E159" s="27"/>
      <c r="F159" s="27"/>
    </row>
    <row r="160" spans="5:6">
      <c r="E160" s="27"/>
      <c r="F160" s="27"/>
    </row>
    <row r="161" spans="5:6">
      <c r="E161" s="27"/>
      <c r="F161" s="27"/>
    </row>
    <row r="162" spans="5:6">
      <c r="E162" s="27"/>
      <c r="F162" s="27"/>
    </row>
    <row r="163" spans="5:6">
      <c r="E163" s="27"/>
      <c r="F163" s="27"/>
    </row>
    <row r="164" spans="5:6">
      <c r="E164" s="27"/>
      <c r="F164" s="27"/>
    </row>
    <row r="165" spans="5:6">
      <c r="E165" s="27"/>
      <c r="F165" s="27"/>
    </row>
    <row r="166" spans="5:6">
      <c r="E166" s="27"/>
      <c r="F166" s="27"/>
    </row>
    <row r="167" spans="5:6">
      <c r="E167" s="27"/>
      <c r="F167" s="27"/>
    </row>
    <row r="168" spans="5:6">
      <c r="E168" s="27"/>
      <c r="F168" s="27"/>
    </row>
    <row r="169" spans="5:6">
      <c r="E169" s="27"/>
      <c r="F169" s="27"/>
    </row>
    <row r="170" spans="5:6">
      <c r="E170" s="27"/>
      <c r="F170" s="27"/>
    </row>
    <row r="171" spans="5:6">
      <c r="E171" s="27"/>
      <c r="F171" s="27"/>
    </row>
    <row r="172" spans="5:6">
      <c r="E172" s="27"/>
      <c r="F172" s="27"/>
    </row>
    <row r="173" spans="5:6">
      <c r="E173" s="27"/>
      <c r="F173" s="27"/>
    </row>
    <row r="174" spans="5:6">
      <c r="E174" s="27"/>
      <c r="F174" s="27"/>
    </row>
    <row r="175" spans="5:6">
      <c r="E175" s="27"/>
      <c r="F175" s="27"/>
    </row>
    <row r="176" spans="5:6">
      <c r="E176" s="27"/>
      <c r="F176" s="27"/>
    </row>
    <row r="177" spans="5:6">
      <c r="E177" s="27"/>
      <c r="F177" s="27"/>
    </row>
    <row r="178" spans="5:6">
      <c r="E178" s="27"/>
      <c r="F178" s="27"/>
    </row>
    <row r="179" spans="5:6">
      <c r="E179" s="27"/>
      <c r="F179" s="27"/>
    </row>
    <row r="180" spans="5:6">
      <c r="E180" s="27"/>
      <c r="F180" s="27"/>
    </row>
    <row r="181" spans="5:6">
      <c r="E181" s="27"/>
      <c r="F181" s="27"/>
    </row>
    <row r="182" spans="5:6">
      <c r="E182" s="27"/>
      <c r="F182" s="27"/>
    </row>
    <row r="183" spans="5:6">
      <c r="E183" s="27"/>
      <c r="F183" s="27"/>
    </row>
    <row r="184" spans="5:6">
      <c r="E184" s="27"/>
      <c r="F184" s="27"/>
    </row>
    <row r="185" spans="5:6">
      <c r="E185" s="27"/>
      <c r="F185" s="27"/>
    </row>
    <row r="186" spans="5:6">
      <c r="E186" s="27"/>
      <c r="F186" s="27"/>
    </row>
    <row r="187" spans="5:6">
      <c r="E187" s="27"/>
      <c r="F187" s="27"/>
    </row>
    <row r="188" spans="5:6">
      <c r="E188" s="27"/>
      <c r="F188" s="27"/>
    </row>
    <row r="189" spans="5:6">
      <c r="E189" s="27"/>
      <c r="F189" s="27"/>
    </row>
    <row r="190" spans="5:6">
      <c r="E190" s="27"/>
      <c r="F190" s="27"/>
    </row>
    <row r="191" spans="5:6">
      <c r="E191" s="27"/>
      <c r="F191" s="27"/>
    </row>
    <row r="192" spans="5:6">
      <c r="E192" s="27"/>
      <c r="F192" s="27"/>
    </row>
    <row r="193" spans="5:6">
      <c r="E193" s="27"/>
      <c r="F193" s="27"/>
    </row>
    <row r="194" spans="5:6">
      <c r="E194" s="27"/>
      <c r="F194" s="27"/>
    </row>
    <row r="195" spans="5:6">
      <c r="E195" s="27"/>
      <c r="F195" s="27"/>
    </row>
    <row r="196" spans="5:6">
      <c r="E196" s="27"/>
      <c r="F196" s="27"/>
    </row>
    <row r="197" spans="5:6">
      <c r="E197" s="27"/>
      <c r="F197" s="27"/>
    </row>
    <row r="198" spans="5:6">
      <c r="E198" s="27"/>
      <c r="F198" s="27"/>
    </row>
    <row r="199" spans="5:6">
      <c r="E199" s="27"/>
      <c r="F199" s="27"/>
    </row>
    <row r="200" spans="5:6">
      <c r="E200" s="27"/>
      <c r="F200" s="27"/>
    </row>
    <row r="201" spans="5:6">
      <c r="E201" s="27"/>
      <c r="F201" s="27"/>
    </row>
    <row r="202" spans="5:6">
      <c r="E202" s="27"/>
      <c r="F202" s="27"/>
    </row>
    <row r="203" spans="5:6">
      <c r="E203" s="27"/>
      <c r="F203" s="27"/>
    </row>
    <row r="204" spans="5:6">
      <c r="E204" s="27"/>
      <c r="F204" s="27"/>
    </row>
    <row r="205" spans="5:6">
      <c r="E205" s="27"/>
      <c r="F205" s="27"/>
    </row>
    <row r="206" spans="5:6">
      <c r="E206" s="27"/>
      <c r="F206" s="27"/>
    </row>
    <row r="207" spans="5:6">
      <c r="E207" s="27"/>
      <c r="F207" s="27"/>
    </row>
    <row r="208" spans="5:6">
      <c r="E208" s="27"/>
      <c r="F208" s="27"/>
    </row>
    <row r="209" spans="5:6">
      <c r="E209" s="27"/>
      <c r="F209" s="27"/>
    </row>
    <row r="210" spans="5:6">
      <c r="E210" s="27"/>
      <c r="F210" s="27"/>
    </row>
    <row r="211" spans="5:6">
      <c r="E211" s="27"/>
      <c r="F211" s="27"/>
    </row>
    <row r="212" spans="5:6">
      <c r="E212" s="27"/>
      <c r="F212" s="27"/>
    </row>
    <row r="213" spans="5:6">
      <c r="E213" s="27"/>
      <c r="F213" s="27"/>
    </row>
    <row r="214" spans="5:6">
      <c r="E214" s="27"/>
      <c r="F214" s="27"/>
    </row>
    <row r="215" spans="5:6">
      <c r="E215" s="27"/>
      <c r="F215" s="27"/>
    </row>
    <row r="216" spans="5:6">
      <c r="E216" s="27"/>
      <c r="F216" s="27"/>
    </row>
    <row r="217" spans="5:6">
      <c r="E217" s="27"/>
      <c r="F217" s="27"/>
    </row>
    <row r="218" spans="5:6">
      <c r="E218" s="27"/>
      <c r="F218" s="27"/>
    </row>
    <row r="219" spans="5:6">
      <c r="E219" s="27"/>
      <c r="F219" s="27"/>
    </row>
    <row r="220" spans="5:6">
      <c r="E220" s="27"/>
      <c r="F220" s="27"/>
    </row>
    <row r="221" spans="5:6">
      <c r="E221" s="27"/>
      <c r="F221" s="27"/>
    </row>
    <row r="222" spans="5:6">
      <c r="E222" s="27"/>
      <c r="F222" s="27"/>
    </row>
    <row r="223" spans="5:6">
      <c r="E223" s="27"/>
      <c r="F223" s="27"/>
    </row>
    <row r="224" spans="5:6">
      <c r="E224" s="27"/>
      <c r="F224" s="27"/>
    </row>
    <row r="225" spans="3:8">
      <c r="E225" s="27"/>
      <c r="F225" s="27"/>
    </row>
    <row r="226" spans="3:8">
      <c r="E226" s="27"/>
      <c r="F226" s="27"/>
    </row>
    <row r="227" spans="3:8">
      <c r="E227" s="27"/>
      <c r="F227" s="27"/>
    </row>
    <row r="228" spans="3:8">
      <c r="E228" s="27"/>
      <c r="F228" s="27"/>
    </row>
    <row r="229" spans="3:8">
      <c r="E229" s="27"/>
      <c r="F229" s="27"/>
    </row>
    <row r="230" spans="3:8">
      <c r="E230" s="27"/>
      <c r="F230" s="27"/>
    </row>
    <row r="231" spans="3:8">
      <c r="E231" s="27"/>
      <c r="F231" s="27"/>
    </row>
    <row r="232" spans="3:8">
      <c r="E232" s="27"/>
      <c r="F232" s="27"/>
    </row>
    <row r="233" spans="3:8">
      <c r="E233" s="27"/>
      <c r="F233" s="27"/>
    </row>
    <row r="234" spans="3:8">
      <c r="E234" s="27"/>
      <c r="F234" s="27"/>
    </row>
    <row r="235" spans="3:8">
      <c r="E235" s="27"/>
      <c r="F235" s="27"/>
    </row>
    <row r="236" spans="3:8">
      <c r="E236" s="27"/>
      <c r="F236" s="27"/>
    </row>
    <row r="237" spans="3:8">
      <c r="E237" s="27"/>
      <c r="F237" s="27"/>
    </row>
    <row r="238" spans="3:8">
      <c r="E238" s="27"/>
      <c r="F238" s="27"/>
    </row>
    <row r="239" spans="3:8">
      <c r="E239" s="27"/>
      <c r="F239" s="27"/>
    </row>
    <row r="240" spans="3:8">
      <c r="C240" s="135"/>
      <c r="D240" s="135"/>
      <c r="E240" s="27"/>
      <c r="F240" s="27"/>
      <c r="G240" s="135"/>
      <c r="H240" s="135"/>
    </row>
    <row r="241" spans="3:8">
      <c r="C241" s="135"/>
      <c r="D241" s="135"/>
      <c r="E241" s="27"/>
      <c r="F241" s="27"/>
      <c r="G241" s="135"/>
      <c r="H241" s="135"/>
    </row>
    <row r="242" spans="3:8">
      <c r="C242" s="135"/>
      <c r="D242" s="135"/>
      <c r="E242" s="27"/>
      <c r="F242" s="27"/>
      <c r="G242" s="135"/>
      <c r="H242" s="135"/>
    </row>
    <row r="243" spans="3:8">
      <c r="C243" s="135"/>
      <c r="D243" s="135"/>
      <c r="E243" s="27"/>
      <c r="F243" s="27"/>
      <c r="G243" s="135"/>
      <c r="H243" s="135"/>
    </row>
    <row r="244" spans="3:8">
      <c r="C244" s="135"/>
      <c r="D244" s="135"/>
      <c r="E244" s="27"/>
      <c r="F244" s="27"/>
      <c r="G244" s="135"/>
      <c r="H244" s="135"/>
    </row>
    <row r="245" spans="3:8">
      <c r="C245" s="135"/>
      <c r="D245" s="135"/>
      <c r="E245" s="27"/>
      <c r="F245" s="27"/>
      <c r="G245" s="135"/>
      <c r="H245" s="135"/>
    </row>
    <row r="246" spans="3:8">
      <c r="C246" s="135"/>
      <c r="D246" s="135"/>
      <c r="E246" s="27"/>
      <c r="F246" s="27"/>
      <c r="G246" s="135"/>
      <c r="H246" s="135"/>
    </row>
    <row r="247" spans="3:8">
      <c r="C247" s="135"/>
      <c r="D247" s="135"/>
      <c r="E247" s="27"/>
      <c r="F247" s="27"/>
      <c r="G247" s="135"/>
      <c r="H247" s="135"/>
    </row>
    <row r="248" spans="3:8">
      <c r="C248" s="135"/>
      <c r="D248" s="135"/>
      <c r="E248" s="27"/>
      <c r="F248" s="27"/>
      <c r="G248" s="135"/>
      <c r="H248" s="135"/>
    </row>
    <row r="249" spans="3:8">
      <c r="C249" s="135"/>
      <c r="D249" s="135"/>
      <c r="E249" s="27"/>
      <c r="F249" s="27"/>
      <c r="G249" s="135"/>
      <c r="H249" s="135"/>
    </row>
    <row r="250" spans="3:8">
      <c r="C250" s="135"/>
      <c r="D250" s="135"/>
      <c r="E250" s="27"/>
      <c r="F250" s="27"/>
      <c r="G250" s="135"/>
      <c r="H250" s="135"/>
    </row>
    <row r="251" spans="3:8">
      <c r="C251" s="135"/>
      <c r="D251" s="135"/>
      <c r="E251" s="27"/>
      <c r="F251" s="27"/>
      <c r="G251" s="135"/>
      <c r="H251" s="135"/>
    </row>
    <row r="252" spans="3:8">
      <c r="C252" s="135"/>
      <c r="D252" s="135"/>
      <c r="E252" s="27"/>
      <c r="F252" s="27"/>
      <c r="G252" s="135"/>
      <c r="H252" s="135"/>
    </row>
    <row r="253" spans="3:8">
      <c r="E253" s="27"/>
      <c r="F253" s="27"/>
    </row>
    <row r="254" spans="3:8">
      <c r="E254" s="27"/>
      <c r="F254" s="27"/>
    </row>
    <row r="255" spans="3:8">
      <c r="E255" s="27"/>
      <c r="F255" s="27"/>
    </row>
    <row r="256" spans="3:8">
      <c r="E256" s="27"/>
      <c r="F256" s="27"/>
    </row>
    <row r="257" spans="5:6">
      <c r="E257" s="27"/>
      <c r="F257" s="27"/>
    </row>
    <row r="258" spans="5:6">
      <c r="E258" s="27"/>
      <c r="F258" s="27"/>
    </row>
    <row r="259" spans="5:6">
      <c r="E259" s="27"/>
      <c r="F259" s="27"/>
    </row>
    <row r="260" spans="5:6">
      <c r="E260" s="27"/>
      <c r="F260" s="27"/>
    </row>
    <row r="261" spans="5:6">
      <c r="E261" s="27"/>
      <c r="F261" s="27"/>
    </row>
    <row r="262" spans="5:6">
      <c r="E262" s="27"/>
      <c r="F262" s="27"/>
    </row>
    <row r="263" spans="5:6">
      <c r="E263" s="27"/>
      <c r="F263" s="27"/>
    </row>
    <row r="264" spans="5:6">
      <c r="E264" s="27"/>
      <c r="F264" s="27"/>
    </row>
    <row r="265" spans="5:6">
      <c r="E265" s="27"/>
      <c r="F265" s="27"/>
    </row>
    <row r="266" spans="5:6">
      <c r="E266" s="27"/>
      <c r="F266" s="27"/>
    </row>
    <row r="267" spans="5:6">
      <c r="E267" s="27"/>
      <c r="F267" s="27"/>
    </row>
    <row r="268" spans="5:6">
      <c r="E268" s="27"/>
      <c r="F268" s="27"/>
    </row>
    <row r="269" spans="5:6">
      <c r="E269" s="27"/>
      <c r="F269" s="27"/>
    </row>
    <row r="270" spans="5:6">
      <c r="E270" s="27"/>
      <c r="F270" s="27"/>
    </row>
    <row r="271" spans="5:6">
      <c r="E271" s="27"/>
      <c r="F271" s="27"/>
    </row>
    <row r="272" spans="5:6">
      <c r="E272" s="27"/>
      <c r="F272" s="27"/>
    </row>
    <row r="273" spans="5:6">
      <c r="E273" s="27"/>
      <c r="F273" s="27"/>
    </row>
    <row r="274" spans="5:6">
      <c r="E274" s="27"/>
      <c r="F274" s="27"/>
    </row>
    <row r="275" spans="5:6">
      <c r="E275" s="27"/>
      <c r="F275" s="27"/>
    </row>
    <row r="276" spans="5:6">
      <c r="E276" s="27"/>
      <c r="F276" s="27"/>
    </row>
    <row r="277" spans="5:6">
      <c r="E277" s="27"/>
      <c r="F277" s="27"/>
    </row>
    <row r="278" spans="5:6">
      <c r="E278" s="27"/>
      <c r="F278" s="27"/>
    </row>
    <row r="279" spans="5:6">
      <c r="E279" s="27"/>
      <c r="F279" s="27"/>
    </row>
    <row r="280" spans="5:6">
      <c r="E280" s="27"/>
      <c r="F280" s="27"/>
    </row>
    <row r="281" spans="5:6">
      <c r="E281" s="27"/>
      <c r="F281" s="27"/>
    </row>
    <row r="282" spans="5:6">
      <c r="E282" s="27"/>
      <c r="F282" s="27"/>
    </row>
    <row r="283" spans="5:6">
      <c r="E283" s="27"/>
      <c r="F283" s="27"/>
    </row>
    <row r="284" spans="5:6">
      <c r="E284" s="27"/>
      <c r="F284" s="27"/>
    </row>
    <row r="285" spans="5:6">
      <c r="E285" s="27"/>
      <c r="F285" s="27"/>
    </row>
    <row r="286" spans="5:6">
      <c r="E286" s="27"/>
      <c r="F286" s="27"/>
    </row>
    <row r="287" spans="5:6">
      <c r="E287" s="27"/>
      <c r="F287" s="27"/>
    </row>
    <row r="288" spans="5:6">
      <c r="E288" s="27"/>
      <c r="F288" s="27"/>
    </row>
    <row r="289" spans="5:6">
      <c r="E289" s="27"/>
      <c r="F289" s="27"/>
    </row>
    <row r="290" spans="5:6">
      <c r="E290" s="27"/>
      <c r="F290" s="27"/>
    </row>
    <row r="291" spans="5:6">
      <c r="E291" s="27"/>
      <c r="F291" s="27"/>
    </row>
    <row r="292" spans="5:6">
      <c r="E292" s="27"/>
      <c r="F292" s="27"/>
    </row>
    <row r="293" spans="5:6">
      <c r="E293" s="27"/>
      <c r="F293" s="27"/>
    </row>
    <row r="294" spans="5:6">
      <c r="E294" s="27"/>
      <c r="F294" s="27"/>
    </row>
    <row r="295" spans="5:6">
      <c r="E295" s="27"/>
      <c r="F295" s="27"/>
    </row>
    <row r="296" spans="5:6">
      <c r="E296" s="27"/>
      <c r="F296" s="27"/>
    </row>
    <row r="297" spans="5:6">
      <c r="E297" s="27"/>
      <c r="F297" s="27"/>
    </row>
    <row r="298" spans="5:6">
      <c r="E298" s="27"/>
      <c r="F298" s="27"/>
    </row>
    <row r="299" spans="5:6">
      <c r="E299" s="27"/>
      <c r="F299" s="27"/>
    </row>
    <row r="300" spans="5:6">
      <c r="E300" s="27"/>
      <c r="F300" s="27"/>
    </row>
    <row r="301" spans="5:6">
      <c r="E301" s="27"/>
      <c r="F301" s="27"/>
    </row>
    <row r="302" spans="5:6">
      <c r="E302" s="27"/>
      <c r="F302" s="27"/>
    </row>
    <row r="303" spans="5:6">
      <c r="E303" s="27"/>
      <c r="F303" s="27"/>
    </row>
    <row r="304" spans="5:6">
      <c r="E304" s="27"/>
      <c r="F304" s="27"/>
    </row>
    <row r="305" spans="5:6">
      <c r="E305" s="27"/>
      <c r="F305" s="27"/>
    </row>
    <row r="306" spans="5:6">
      <c r="E306" s="27"/>
      <c r="F306" s="27"/>
    </row>
    <row r="307" spans="5:6">
      <c r="E307" s="27"/>
      <c r="F307" s="27"/>
    </row>
    <row r="308" spans="5:6">
      <c r="E308" s="27"/>
      <c r="F308" s="27"/>
    </row>
    <row r="309" spans="5:6">
      <c r="E309" s="27"/>
      <c r="F309" s="27"/>
    </row>
    <row r="310" spans="5:6">
      <c r="E310" s="27"/>
      <c r="F310" s="27"/>
    </row>
    <row r="311" spans="5:6">
      <c r="E311" s="27"/>
      <c r="F311" s="27"/>
    </row>
    <row r="312" spans="5:6">
      <c r="E312" s="27"/>
      <c r="F312" s="27"/>
    </row>
    <row r="313" spans="5:6">
      <c r="E313" s="27"/>
      <c r="F313" s="27"/>
    </row>
    <row r="314" spans="5:6">
      <c r="E314" s="27"/>
      <c r="F314" s="27"/>
    </row>
    <row r="315" spans="5:6">
      <c r="E315" s="27"/>
      <c r="F315" s="27"/>
    </row>
    <row r="316" spans="5:6">
      <c r="E316" s="27"/>
      <c r="F316" s="27"/>
    </row>
    <row r="317" spans="5:6">
      <c r="E317" s="27"/>
      <c r="F317" s="27"/>
    </row>
    <row r="318" spans="5:6">
      <c r="E318" s="27"/>
      <c r="F318" s="27"/>
    </row>
    <row r="319" spans="5:6">
      <c r="E319" s="27"/>
      <c r="F319" s="27"/>
    </row>
    <row r="320" spans="5:6">
      <c r="E320" s="27"/>
      <c r="F320" s="27"/>
    </row>
    <row r="321" spans="5:6">
      <c r="E321" s="27"/>
      <c r="F321" s="27"/>
    </row>
    <row r="322" spans="5:6">
      <c r="E322" s="27"/>
      <c r="F322" s="27"/>
    </row>
    <row r="323" spans="5:6">
      <c r="E323" s="27"/>
      <c r="F323" s="27"/>
    </row>
    <row r="324" spans="5:6">
      <c r="E324" s="27"/>
      <c r="F324" s="27"/>
    </row>
    <row r="325" spans="5:6">
      <c r="E325" s="27"/>
      <c r="F325" s="27"/>
    </row>
    <row r="326" spans="5:6">
      <c r="E326" s="27"/>
      <c r="F326" s="27"/>
    </row>
    <row r="327" spans="5:6">
      <c r="E327" s="27"/>
      <c r="F327" s="27"/>
    </row>
    <row r="328" spans="5:6">
      <c r="E328" s="27"/>
      <c r="F328" s="27"/>
    </row>
    <row r="329" spans="5:6">
      <c r="E329" s="27"/>
      <c r="F329" s="27"/>
    </row>
    <row r="330" spans="5:6">
      <c r="E330" s="27"/>
      <c r="F330" s="27"/>
    </row>
    <row r="331" spans="5:6">
      <c r="E331" s="27"/>
      <c r="F331" s="27"/>
    </row>
    <row r="332" spans="5:6">
      <c r="E332" s="27"/>
      <c r="F332" s="27"/>
    </row>
    <row r="333" spans="5:6">
      <c r="E333" s="27"/>
      <c r="F333" s="27"/>
    </row>
    <row r="334" spans="5:6">
      <c r="E334" s="27"/>
      <c r="F334" s="27"/>
    </row>
    <row r="335" spans="5:6">
      <c r="E335" s="27"/>
      <c r="F335" s="27"/>
    </row>
    <row r="336" spans="5:6">
      <c r="E336" s="27"/>
      <c r="F336" s="27"/>
    </row>
    <row r="337" spans="5:6">
      <c r="E337" s="27"/>
      <c r="F337" s="27"/>
    </row>
    <row r="338" spans="5:6">
      <c r="E338" s="27"/>
      <c r="F338" s="27"/>
    </row>
    <row r="339" spans="5:6">
      <c r="E339" s="27"/>
      <c r="F339" s="27"/>
    </row>
    <row r="340" spans="5:6">
      <c r="E340" s="27"/>
      <c r="F340" s="27"/>
    </row>
    <row r="341" spans="5:6">
      <c r="E341" s="27"/>
      <c r="F341" s="27"/>
    </row>
    <row r="342" spans="5:6">
      <c r="E342" s="27"/>
      <c r="F342" s="27"/>
    </row>
    <row r="343" spans="5:6">
      <c r="E343" s="27"/>
      <c r="F343" s="27"/>
    </row>
    <row r="344" spans="5:6">
      <c r="E344" s="27"/>
      <c r="F344" s="27"/>
    </row>
    <row r="345" spans="5:6">
      <c r="E345" s="27"/>
      <c r="F345" s="27"/>
    </row>
    <row r="346" spans="5:6">
      <c r="E346" s="27"/>
      <c r="F346" s="27"/>
    </row>
    <row r="347" spans="5:6">
      <c r="E347" s="27"/>
      <c r="F347" s="27"/>
    </row>
    <row r="348" spans="5:6">
      <c r="E348" s="27"/>
      <c r="F348" s="27"/>
    </row>
    <row r="349" spans="5:6">
      <c r="E349" s="27"/>
      <c r="F349" s="27"/>
    </row>
    <row r="350" spans="5:6">
      <c r="E350" s="27"/>
      <c r="F350" s="27"/>
    </row>
    <row r="351" spans="5:6">
      <c r="E351" s="27"/>
      <c r="F351" s="27"/>
    </row>
    <row r="352" spans="5:6">
      <c r="E352" s="27"/>
      <c r="F352" s="27"/>
    </row>
    <row r="353" spans="5:6">
      <c r="E353" s="27"/>
      <c r="F353" s="27"/>
    </row>
    <row r="354" spans="5:6">
      <c r="E354" s="27"/>
      <c r="F354" s="27"/>
    </row>
    <row r="355" spans="5:6">
      <c r="E355" s="27"/>
      <c r="F355" s="27"/>
    </row>
    <row r="356" spans="5:6">
      <c r="E356" s="27"/>
      <c r="F356" s="27"/>
    </row>
    <row r="357" spans="5:6">
      <c r="E357" s="27"/>
      <c r="F357" s="27"/>
    </row>
    <row r="358" spans="5:6">
      <c r="E358" s="27"/>
      <c r="F358" s="27"/>
    </row>
    <row r="359" spans="5:6">
      <c r="E359" s="27"/>
      <c r="F359" s="27"/>
    </row>
    <row r="360" spans="5:6">
      <c r="E360" s="27"/>
      <c r="F360" s="27"/>
    </row>
    <row r="361" spans="5:6">
      <c r="E361" s="27"/>
      <c r="F361" s="27"/>
    </row>
    <row r="362" spans="5:6">
      <c r="E362" s="27"/>
      <c r="F362" s="27"/>
    </row>
    <row r="363" spans="5:6">
      <c r="E363" s="27"/>
      <c r="F363" s="27"/>
    </row>
    <row r="364" spans="5:6">
      <c r="E364" s="27"/>
      <c r="F364" s="27"/>
    </row>
    <row r="365" spans="5:6">
      <c r="E365" s="27"/>
      <c r="F365" s="27"/>
    </row>
    <row r="366" spans="5:6">
      <c r="E366" s="27"/>
      <c r="F366" s="27"/>
    </row>
    <row r="367" spans="5:6">
      <c r="E367" s="27"/>
      <c r="F367" s="27"/>
    </row>
    <row r="368" spans="5:6">
      <c r="E368" s="27"/>
      <c r="F368" s="27"/>
    </row>
    <row r="369" spans="5:6">
      <c r="E369" s="27"/>
      <c r="F369" s="27"/>
    </row>
    <row r="370" spans="5:6">
      <c r="E370" s="27"/>
      <c r="F370" s="27"/>
    </row>
    <row r="371" spans="5:6">
      <c r="E371" s="27"/>
      <c r="F371" s="27"/>
    </row>
    <row r="372" spans="5:6">
      <c r="E372" s="27"/>
      <c r="F372" s="27"/>
    </row>
    <row r="373" spans="5:6">
      <c r="E373" s="27"/>
      <c r="F373" s="27"/>
    </row>
    <row r="374" spans="5:6">
      <c r="E374" s="27"/>
      <c r="F374" s="27"/>
    </row>
    <row r="375" spans="5:6">
      <c r="E375" s="27"/>
      <c r="F375" s="27"/>
    </row>
    <row r="376" spans="5:6">
      <c r="E376" s="27"/>
      <c r="F376" s="27"/>
    </row>
    <row r="377" spans="5:6">
      <c r="E377" s="27"/>
      <c r="F377" s="27"/>
    </row>
    <row r="378" spans="5:6">
      <c r="E378" s="27"/>
      <c r="F378" s="27"/>
    </row>
    <row r="379" spans="5:6">
      <c r="E379" s="27"/>
      <c r="F379" s="27"/>
    </row>
    <row r="380" spans="5:6">
      <c r="E380" s="27"/>
      <c r="F380" s="27"/>
    </row>
    <row r="381" spans="5:6">
      <c r="E381" s="27"/>
      <c r="F381" s="27"/>
    </row>
    <row r="382" spans="5:6">
      <c r="E382" s="27"/>
      <c r="F382" s="27"/>
    </row>
    <row r="383" spans="5:6">
      <c r="E383" s="27"/>
      <c r="F383" s="27"/>
    </row>
    <row r="384" spans="5:6">
      <c r="E384" s="27"/>
      <c r="F384" s="27"/>
    </row>
    <row r="385" spans="5:6">
      <c r="E385" s="27"/>
      <c r="F385" s="27"/>
    </row>
    <row r="386" spans="5:6">
      <c r="E386" s="27"/>
      <c r="F386" s="27"/>
    </row>
    <row r="387" spans="5:6">
      <c r="E387" s="27"/>
      <c r="F387" s="27"/>
    </row>
    <row r="388" spans="5:6">
      <c r="E388" s="27"/>
      <c r="F388" s="27"/>
    </row>
    <row r="389" spans="5:6">
      <c r="E389" s="27"/>
      <c r="F389" s="27"/>
    </row>
    <row r="390" spans="5:6">
      <c r="E390" s="27"/>
      <c r="F390" s="27"/>
    </row>
    <row r="391" spans="5:6">
      <c r="E391" s="27"/>
      <c r="F391" s="27"/>
    </row>
    <row r="392" spans="5:6">
      <c r="E392" s="27"/>
      <c r="F392" s="27"/>
    </row>
    <row r="393" spans="5:6">
      <c r="E393" s="27"/>
      <c r="F393" s="27"/>
    </row>
    <row r="394" spans="5:6">
      <c r="E394" s="27"/>
      <c r="F394" s="27"/>
    </row>
    <row r="395" spans="5:6">
      <c r="E395" s="27"/>
      <c r="F395" s="27"/>
    </row>
    <row r="396" spans="5:6">
      <c r="E396" s="27"/>
      <c r="F396" s="27"/>
    </row>
    <row r="397" spans="5:6">
      <c r="E397" s="27"/>
      <c r="F397" s="27"/>
    </row>
    <row r="398" spans="5:6">
      <c r="E398" s="27"/>
      <c r="F398" s="27"/>
    </row>
    <row r="399" spans="5:6">
      <c r="E399" s="27"/>
      <c r="F399" s="27"/>
    </row>
    <row r="400" spans="5:6">
      <c r="E400" s="27"/>
      <c r="F400" s="27"/>
    </row>
    <row r="401" spans="5:6">
      <c r="E401" s="27"/>
      <c r="F401" s="27"/>
    </row>
    <row r="402" spans="5:6">
      <c r="E402" s="27"/>
      <c r="F402" s="27"/>
    </row>
    <row r="403" spans="5:6">
      <c r="E403" s="27"/>
      <c r="F403" s="27"/>
    </row>
    <row r="404" spans="5:6">
      <c r="E404" s="27"/>
      <c r="F404" s="27"/>
    </row>
    <row r="405" spans="5:6">
      <c r="E405" s="27"/>
      <c r="F405" s="27"/>
    </row>
    <row r="406" spans="5:6">
      <c r="E406" s="27"/>
      <c r="F406" s="27"/>
    </row>
    <row r="407" spans="5:6">
      <c r="E407" s="27"/>
      <c r="F407" s="27"/>
    </row>
    <row r="408" spans="5:6">
      <c r="E408" s="27"/>
      <c r="F408" s="27"/>
    </row>
    <row r="409" spans="5:6">
      <c r="E409" s="27"/>
      <c r="F409" s="27"/>
    </row>
    <row r="410" spans="5:6">
      <c r="E410" s="27"/>
      <c r="F410" s="27"/>
    </row>
    <row r="411" spans="5:6">
      <c r="E411" s="27"/>
      <c r="F411" s="27"/>
    </row>
    <row r="412" spans="5:6">
      <c r="E412" s="27"/>
      <c r="F412" s="27"/>
    </row>
    <row r="413" spans="5:6">
      <c r="E413" s="27"/>
      <c r="F413" s="27"/>
    </row>
    <row r="414" spans="5:6">
      <c r="E414" s="27"/>
      <c r="F414" s="27"/>
    </row>
    <row r="415" spans="5:6">
      <c r="E415" s="27"/>
      <c r="F415" s="27"/>
    </row>
    <row r="416" spans="5:6">
      <c r="E416" s="27"/>
      <c r="F416" s="27"/>
    </row>
    <row r="417" spans="5:6">
      <c r="E417" s="27"/>
      <c r="F417" s="27"/>
    </row>
    <row r="418" spans="5:6">
      <c r="E418" s="27"/>
      <c r="F418" s="27"/>
    </row>
  </sheetData>
  <mergeCells count="11">
    <mergeCell ref="E11:F11"/>
    <mergeCell ref="C59:F60"/>
    <mergeCell ref="E20:F20"/>
    <mergeCell ref="D2:F2"/>
    <mergeCell ref="D3:F3"/>
    <mergeCell ref="D4:F4"/>
    <mergeCell ref="D5:F5"/>
    <mergeCell ref="B8:F8"/>
    <mergeCell ref="B11:B12"/>
    <mergeCell ref="C11:C12"/>
    <mergeCell ref="D11:D12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27"/>
  <sheetViews>
    <sheetView tabSelected="1" view="pageBreakPreview" zoomScaleSheetLayoutView="100" workbookViewId="0">
      <selection activeCell="B16" sqref="B16"/>
    </sheetView>
  </sheetViews>
  <sheetFormatPr defaultRowHeight="16.5"/>
  <cols>
    <col min="1" max="1" width="60.42578125" style="53" customWidth="1"/>
    <col min="2" max="2" width="19.7109375" style="53" customWidth="1"/>
    <col min="3" max="3" width="18.85546875" style="53" customWidth="1"/>
    <col min="4" max="4" width="24.42578125" style="53" customWidth="1"/>
    <col min="5" max="5" width="10.28515625" style="54" bestFit="1" customWidth="1"/>
    <col min="6" max="6" width="9.28515625" style="54" bestFit="1" customWidth="1"/>
    <col min="7" max="16384" width="9.140625" style="53"/>
  </cols>
  <sheetData>
    <row r="2" spans="1:6">
      <c r="B2" s="207" t="s">
        <v>47</v>
      </c>
      <c r="C2" s="207"/>
      <c r="D2" s="207"/>
      <c r="E2" s="51"/>
    </row>
    <row r="3" spans="1:6">
      <c r="B3" s="207" t="s">
        <v>5</v>
      </c>
      <c r="C3" s="207"/>
      <c r="D3" s="207"/>
      <c r="E3" s="51"/>
    </row>
    <row r="4" spans="1:6">
      <c r="B4" s="207" t="s">
        <v>0</v>
      </c>
      <c r="C4" s="207"/>
      <c r="D4" s="207"/>
      <c r="E4" s="51"/>
    </row>
    <row r="5" spans="1:6">
      <c r="B5" s="207" t="s">
        <v>93</v>
      </c>
      <c r="C5" s="207"/>
      <c r="D5" s="207"/>
      <c r="E5" s="51"/>
    </row>
    <row r="6" spans="1:6">
      <c r="B6" s="52"/>
      <c r="C6" s="52"/>
      <c r="D6" s="52"/>
      <c r="E6" s="51"/>
    </row>
    <row r="8" spans="1:6" ht="60.75" customHeight="1">
      <c r="A8" s="208" t="s">
        <v>92</v>
      </c>
      <c r="B8" s="208"/>
      <c r="C8" s="208"/>
      <c r="D8" s="208"/>
    </row>
    <row r="9" spans="1:6">
      <c r="A9" s="107"/>
      <c r="B9" s="107"/>
      <c r="C9" s="55"/>
      <c r="D9" s="55"/>
    </row>
    <row r="10" spans="1:6" ht="25.5" customHeight="1">
      <c r="A10" s="55"/>
      <c r="B10" s="55"/>
      <c r="C10" s="55"/>
      <c r="D10" s="134" t="s">
        <v>1</v>
      </c>
    </row>
    <row r="11" spans="1:6" ht="23.25" customHeight="1">
      <c r="A11" s="204" t="s">
        <v>48</v>
      </c>
      <c r="B11" s="204" t="s">
        <v>82</v>
      </c>
      <c r="C11" s="205" t="s">
        <v>7</v>
      </c>
      <c r="D11" s="206"/>
    </row>
    <row r="12" spans="1:6" ht="22.5" customHeight="1">
      <c r="A12" s="204"/>
      <c r="B12" s="204"/>
      <c r="C12" s="138" t="s">
        <v>85</v>
      </c>
      <c r="D12" s="138" t="s">
        <v>89</v>
      </c>
    </row>
    <row r="13" spans="1:6">
      <c r="A13" s="106">
        <v>1</v>
      </c>
      <c r="B13" s="106">
        <v>2</v>
      </c>
      <c r="C13" s="56">
        <v>3</v>
      </c>
      <c r="D13" s="56">
        <v>4</v>
      </c>
    </row>
    <row r="14" spans="1:6" s="59" customFormat="1" ht="35.1" customHeight="1">
      <c r="A14" s="147" t="s">
        <v>86</v>
      </c>
      <c r="B14" s="184">
        <f>1775.1</f>
        <v>1775.1</v>
      </c>
      <c r="C14" s="185">
        <f>1846.6</f>
        <v>1846.6</v>
      </c>
      <c r="D14" s="186">
        <f>1914.3</f>
        <v>1914.3</v>
      </c>
      <c r="E14" s="57">
        <v>1.0249999999999999</v>
      </c>
      <c r="F14" s="58">
        <v>1.05</v>
      </c>
    </row>
    <row r="15" spans="1:6" s="59" customFormat="1" ht="35.1" customHeight="1">
      <c r="A15" s="147" t="s">
        <v>49</v>
      </c>
      <c r="B15" s="184">
        <f>116.4</f>
        <v>116.4</v>
      </c>
      <c r="C15" s="185">
        <f>121</f>
        <v>121</v>
      </c>
      <c r="D15" s="186">
        <f>125.5</f>
        <v>125.5</v>
      </c>
      <c r="E15" s="57">
        <v>1.0249999999999999</v>
      </c>
      <c r="F15" s="58">
        <v>1.05</v>
      </c>
    </row>
    <row r="16" spans="1:6" s="59" customFormat="1" ht="35.1" customHeight="1">
      <c r="A16" s="147" t="s">
        <v>50</v>
      </c>
      <c r="B16" s="184">
        <f>108.9</f>
        <v>108.9</v>
      </c>
      <c r="C16" s="185">
        <f>113.3</f>
        <v>113.3</v>
      </c>
      <c r="D16" s="186">
        <f>117.5</f>
        <v>117.5</v>
      </c>
      <c r="E16" s="57">
        <v>1.0249999999999999</v>
      </c>
      <c r="F16" s="58">
        <v>1.05</v>
      </c>
    </row>
    <row r="17" spans="1:6" s="59" customFormat="1" ht="35.1" customHeight="1">
      <c r="A17" s="147" t="s">
        <v>51</v>
      </c>
      <c r="B17" s="184">
        <f>96.5</f>
        <v>96.5</v>
      </c>
      <c r="C17" s="185">
        <f>100.5</f>
        <v>100.5</v>
      </c>
      <c r="D17" s="186">
        <f>104.1</f>
        <v>104.1</v>
      </c>
      <c r="E17" s="57">
        <v>1.0249999999999999</v>
      </c>
      <c r="F17" s="58">
        <v>1.05</v>
      </c>
    </row>
    <row r="18" spans="1:6" s="59" customFormat="1" ht="35.1" customHeight="1">
      <c r="A18" s="147" t="s">
        <v>52</v>
      </c>
      <c r="B18" s="184">
        <f>126.3</f>
        <v>126.3</v>
      </c>
      <c r="C18" s="185">
        <f>131.4</f>
        <v>131.4</v>
      </c>
      <c r="D18" s="186">
        <f>136.2</f>
        <v>136.19999999999999</v>
      </c>
      <c r="E18" s="57">
        <v>1.0249999999999999</v>
      </c>
      <c r="F18" s="58">
        <v>1.05</v>
      </c>
    </row>
    <row r="19" spans="1:6" s="59" customFormat="1" ht="35.1" customHeight="1">
      <c r="A19" s="147" t="s">
        <v>53</v>
      </c>
      <c r="B19" s="184">
        <f>136.2</f>
        <v>136.19999999999999</v>
      </c>
      <c r="C19" s="185">
        <f>141.7</f>
        <v>141.69999999999999</v>
      </c>
      <c r="D19" s="186">
        <f>146.8</f>
        <v>146.80000000000001</v>
      </c>
      <c r="E19" s="57">
        <v>1.0249999999999999</v>
      </c>
      <c r="F19" s="58">
        <v>1.05</v>
      </c>
    </row>
    <row r="20" spans="1:6" s="59" customFormat="1" ht="35.1" customHeight="1">
      <c r="A20" s="147" t="s">
        <v>54</v>
      </c>
      <c r="B20" s="184">
        <f>116.4</f>
        <v>116.4</v>
      </c>
      <c r="C20" s="185">
        <f>121</f>
        <v>121</v>
      </c>
      <c r="D20" s="186">
        <f>125.5</f>
        <v>125.5</v>
      </c>
      <c r="E20" s="57">
        <v>1.0249999999999999</v>
      </c>
      <c r="F20" s="58">
        <v>1.05</v>
      </c>
    </row>
    <row r="21" spans="1:6" s="61" customFormat="1" ht="34.5" customHeight="1">
      <c r="A21" s="148" t="s">
        <v>83</v>
      </c>
      <c r="B21" s="187">
        <f>B14+B15+B16+B17+B18+B19+B20</f>
        <v>2475.8000000000002</v>
      </c>
      <c r="C21" s="188">
        <f>C14+C15+C16+C17+C18+C19+C20</f>
        <v>2575.5</v>
      </c>
      <c r="D21" s="188">
        <f>D14+D15+D16+D17+D18+D19+D20</f>
        <v>2669.9</v>
      </c>
      <c r="E21" s="60"/>
      <c r="F21" s="60"/>
    </row>
    <row r="22" spans="1:6" s="59" customFormat="1" ht="61.5" customHeight="1">
      <c r="B22" s="62"/>
      <c r="C22" s="62"/>
      <c r="D22" s="62"/>
      <c r="E22" s="63"/>
      <c r="F22" s="63"/>
    </row>
    <row r="23" spans="1:6" s="59" customFormat="1">
      <c r="A23" s="203" t="s">
        <v>97</v>
      </c>
      <c r="B23" s="203"/>
      <c r="C23" s="203"/>
      <c r="D23" s="203"/>
      <c r="E23" s="63"/>
      <c r="F23" s="63"/>
    </row>
    <row r="24" spans="1:6" s="59" customFormat="1">
      <c r="A24" s="203"/>
      <c r="B24" s="203"/>
      <c r="C24" s="203"/>
      <c r="D24" s="203"/>
      <c r="E24" s="63"/>
      <c r="F24" s="63"/>
    </row>
    <row r="25" spans="1:6" s="59" customFormat="1">
      <c r="E25" s="63"/>
      <c r="F25" s="63"/>
    </row>
    <row r="26" spans="1:6" s="59" customFormat="1">
      <c r="E26" s="63"/>
      <c r="F26" s="63"/>
    </row>
    <row r="27" spans="1:6" s="59" customFormat="1">
      <c r="E27" s="63"/>
      <c r="F27" s="63"/>
    </row>
  </sheetData>
  <mergeCells count="9">
    <mergeCell ref="A23:D24"/>
    <mergeCell ref="A11:A12"/>
    <mergeCell ref="B11:B12"/>
    <mergeCell ref="C11:D11"/>
    <mergeCell ref="B2:D2"/>
    <mergeCell ref="B3:D3"/>
    <mergeCell ref="B4:D4"/>
    <mergeCell ref="B5:D5"/>
    <mergeCell ref="A8:D8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1"/>
  <sheetViews>
    <sheetView view="pageBreakPreview" topLeftCell="T16" zoomScale="60" workbookViewId="0">
      <selection activeCell="AB31" sqref="AB31"/>
    </sheetView>
  </sheetViews>
  <sheetFormatPr defaultRowHeight="15.75"/>
  <cols>
    <col min="1" max="1" width="20.28515625" style="151" customWidth="1"/>
    <col min="2" max="2" width="13.42578125" style="65" customWidth="1"/>
    <col min="3" max="3" width="12.140625" style="65" customWidth="1"/>
    <col min="4" max="4" width="15.85546875" style="65" customWidth="1"/>
    <col min="5" max="5" width="13" style="65" customWidth="1"/>
    <col min="6" max="6" width="12" style="65" customWidth="1"/>
    <col min="7" max="7" width="10.85546875" style="65" customWidth="1"/>
    <col min="8" max="8" width="7.85546875" style="65" hidden="1" customWidth="1"/>
    <col min="9" max="9" width="9.140625" style="65"/>
    <col min="10" max="10" width="8.140625" style="65" hidden="1" customWidth="1"/>
    <col min="11" max="11" width="18.42578125" style="66" customWidth="1"/>
    <col min="12" max="12" width="13.5703125" style="65" customWidth="1"/>
    <col min="13" max="13" width="11.42578125" style="65" customWidth="1"/>
    <col min="14" max="14" width="11.5703125" style="65" customWidth="1"/>
    <col min="15" max="15" width="11.85546875" style="65" hidden="1" customWidth="1"/>
    <col min="16" max="16" width="0" style="65" hidden="1" customWidth="1"/>
    <col min="17" max="17" width="10.28515625" style="65" hidden="1" customWidth="1"/>
    <col min="18" max="18" width="17.28515625" style="150" customWidth="1"/>
    <col min="19" max="19" width="17.140625" style="65" customWidth="1"/>
    <col min="20" max="20" width="13.28515625" style="65" customWidth="1"/>
    <col min="21" max="21" width="10.85546875" style="65" customWidth="1"/>
    <col min="22" max="22" width="10.28515625" style="65" customWidth="1"/>
    <col min="23" max="23" width="9.7109375" style="65" hidden="1" customWidth="1"/>
    <col min="24" max="24" width="9.5703125" style="65" hidden="1" customWidth="1"/>
    <col min="25" max="25" width="10.42578125" style="65" customWidth="1"/>
    <col min="26" max="26" width="15.7109375" style="65" customWidth="1"/>
    <col min="27" max="27" width="12.28515625" style="65" customWidth="1"/>
    <col min="28" max="28" width="9.140625" style="65"/>
    <col min="29" max="29" width="11.5703125" style="65" customWidth="1"/>
    <col min="30" max="30" width="8" style="65" hidden="1" customWidth="1"/>
    <col min="31" max="31" width="7.5703125" style="65" hidden="1" customWidth="1"/>
    <col min="32" max="32" width="17.42578125" style="150" customWidth="1"/>
    <col min="33" max="33" width="21.140625" style="65" customWidth="1"/>
    <col min="34" max="34" width="13" style="65" customWidth="1"/>
    <col min="35" max="35" width="11.42578125" style="65" customWidth="1"/>
    <col min="36" max="36" width="10.5703125" style="65" hidden="1" customWidth="1"/>
    <col min="37" max="37" width="7.5703125" style="65" hidden="1" customWidth="1"/>
    <col min="38" max="38" width="11" style="65" customWidth="1"/>
    <col min="39" max="39" width="18.140625" style="64" customWidth="1"/>
    <col min="40" max="40" width="12.140625" style="64" customWidth="1"/>
    <col min="41" max="41" width="9.85546875" style="65" customWidth="1"/>
    <col min="42" max="42" width="11" style="65" customWidth="1"/>
    <col min="43" max="43" width="11.7109375" style="65" hidden="1" customWidth="1"/>
    <col min="44" max="44" width="7.5703125" style="65" hidden="1" customWidth="1"/>
    <col min="45" max="16384" width="9.140625" style="65"/>
  </cols>
  <sheetData>
    <row r="1" spans="1:44" ht="31.5" customHeight="1">
      <c r="A1" s="227" t="s">
        <v>90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"/>
      <c r="AH1" s="1"/>
      <c r="AI1" s="1"/>
      <c r="AJ1" s="1"/>
      <c r="AK1" s="1"/>
      <c r="AL1" s="1"/>
    </row>
    <row r="2" spans="1:44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1"/>
      <c r="R2" s="2"/>
    </row>
    <row r="3" spans="1:44" ht="16.5" thickBot="1">
      <c r="AF3" s="152" t="s">
        <v>1</v>
      </c>
      <c r="AG3" s="67"/>
      <c r="AH3" s="67"/>
      <c r="AI3" s="67"/>
      <c r="AJ3" s="67"/>
      <c r="AK3" s="67"/>
      <c r="AL3" s="67"/>
    </row>
    <row r="4" spans="1:44" ht="20.100000000000001" customHeight="1" thickBot="1">
      <c r="A4" s="228" t="s">
        <v>48</v>
      </c>
      <c r="B4" s="231" t="s">
        <v>82</v>
      </c>
      <c r="C4" s="232"/>
      <c r="D4" s="235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153"/>
      <c r="R4" s="237" t="s">
        <v>7</v>
      </c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8"/>
    </row>
    <row r="5" spans="1:44" s="132" customFormat="1" ht="36" customHeight="1" thickBot="1">
      <c r="A5" s="229"/>
      <c r="B5" s="233"/>
      <c r="C5" s="234"/>
      <c r="D5" s="239" t="s">
        <v>82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154"/>
      <c r="R5" s="241" t="s">
        <v>85</v>
      </c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2"/>
      <c r="AF5" s="243" t="s">
        <v>89</v>
      </c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5"/>
    </row>
    <row r="6" spans="1:44" ht="20.100000000000001" customHeight="1" thickBot="1">
      <c r="A6" s="229"/>
      <c r="B6" s="141"/>
      <c r="C6" s="142"/>
      <c r="D6" s="209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155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2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4"/>
    </row>
    <row r="7" spans="1:44" ht="42.75" customHeight="1">
      <c r="A7" s="229"/>
      <c r="B7" s="215">
        <v>2</v>
      </c>
      <c r="C7" s="215" t="s">
        <v>56</v>
      </c>
      <c r="D7" s="217" t="s">
        <v>57</v>
      </c>
      <c r="E7" s="219" t="s">
        <v>58</v>
      </c>
      <c r="F7" s="221" t="s">
        <v>14</v>
      </c>
      <c r="G7" s="247" t="s">
        <v>59</v>
      </c>
      <c r="H7" s="247"/>
      <c r="I7" s="247"/>
      <c r="J7" s="248"/>
      <c r="K7" s="223" t="s">
        <v>60</v>
      </c>
      <c r="L7" s="225" t="s">
        <v>61</v>
      </c>
      <c r="M7" s="246" t="s">
        <v>62</v>
      </c>
      <c r="N7" s="247"/>
      <c r="O7" s="247"/>
      <c r="P7" s="247"/>
      <c r="Q7" s="156"/>
      <c r="R7" s="157"/>
      <c r="S7" s="249" t="s">
        <v>63</v>
      </c>
      <c r="T7" s="250" t="s">
        <v>64</v>
      </c>
      <c r="U7" s="251"/>
      <c r="V7" s="252" t="s">
        <v>30</v>
      </c>
      <c r="W7" s="253"/>
      <c r="X7" s="253"/>
      <c r="Y7" s="254"/>
      <c r="Z7" s="255" t="s">
        <v>60</v>
      </c>
      <c r="AA7" s="256" t="s">
        <v>61</v>
      </c>
      <c r="AB7" s="258" t="s">
        <v>62</v>
      </c>
      <c r="AC7" s="259"/>
      <c r="AD7" s="259"/>
      <c r="AE7" s="260"/>
      <c r="AF7" s="217" t="s">
        <v>63</v>
      </c>
      <c r="AG7" s="261" t="s">
        <v>12</v>
      </c>
      <c r="AH7" s="261"/>
      <c r="AI7" s="262" t="s">
        <v>76</v>
      </c>
      <c r="AJ7" s="263"/>
      <c r="AK7" s="263"/>
      <c r="AL7" s="264"/>
      <c r="AM7" s="223" t="s">
        <v>60</v>
      </c>
      <c r="AN7" s="225" t="s">
        <v>61</v>
      </c>
      <c r="AO7" s="246" t="s">
        <v>62</v>
      </c>
      <c r="AP7" s="247"/>
      <c r="AQ7" s="247"/>
      <c r="AR7" s="248"/>
    </row>
    <row r="8" spans="1:44" ht="173.25" customHeight="1">
      <c r="A8" s="230"/>
      <c r="B8" s="216"/>
      <c r="C8" s="216"/>
      <c r="D8" s="218"/>
      <c r="E8" s="220"/>
      <c r="F8" s="222"/>
      <c r="G8" s="140" t="s">
        <v>65</v>
      </c>
      <c r="H8" s="144" t="s">
        <v>87</v>
      </c>
      <c r="I8" s="144" t="s">
        <v>75</v>
      </c>
      <c r="J8" s="144" t="s">
        <v>67</v>
      </c>
      <c r="K8" s="224"/>
      <c r="L8" s="226"/>
      <c r="M8" s="144" t="s">
        <v>68</v>
      </c>
      <c r="N8" s="144" t="s">
        <v>69</v>
      </c>
      <c r="O8" s="144" t="s">
        <v>70</v>
      </c>
      <c r="P8" s="139" t="s">
        <v>71</v>
      </c>
      <c r="Q8" s="156"/>
      <c r="R8" s="158"/>
      <c r="S8" s="218"/>
      <c r="T8" s="68" t="s">
        <v>58</v>
      </c>
      <c r="U8" s="69" t="s">
        <v>14</v>
      </c>
      <c r="V8" s="145" t="s">
        <v>72</v>
      </c>
      <c r="W8" s="145" t="s">
        <v>66</v>
      </c>
      <c r="X8" s="159" t="s">
        <v>67</v>
      </c>
      <c r="Y8" s="145" t="s">
        <v>75</v>
      </c>
      <c r="Z8" s="224"/>
      <c r="AA8" s="257"/>
      <c r="AB8" s="159" t="s">
        <v>73</v>
      </c>
      <c r="AC8" s="159" t="s">
        <v>69</v>
      </c>
      <c r="AD8" s="159" t="s">
        <v>70</v>
      </c>
      <c r="AE8" s="159" t="s">
        <v>71</v>
      </c>
      <c r="AF8" s="218"/>
      <c r="AG8" s="70" t="s">
        <v>58</v>
      </c>
      <c r="AH8" s="71" t="s">
        <v>14</v>
      </c>
      <c r="AI8" s="72" t="s">
        <v>72</v>
      </c>
      <c r="AJ8" s="144" t="s">
        <v>66</v>
      </c>
      <c r="AK8" s="144" t="s">
        <v>67</v>
      </c>
      <c r="AL8" s="143" t="s">
        <v>75</v>
      </c>
      <c r="AM8" s="224"/>
      <c r="AN8" s="226"/>
      <c r="AO8" s="144" t="s">
        <v>73</v>
      </c>
      <c r="AP8" s="144" t="s">
        <v>69</v>
      </c>
      <c r="AQ8" s="144" t="s">
        <v>70</v>
      </c>
      <c r="AR8" s="144" t="s">
        <v>71</v>
      </c>
    </row>
    <row r="9" spans="1:44" ht="9" customHeight="1">
      <c r="A9" s="159"/>
      <c r="B9" s="73"/>
      <c r="C9" s="73"/>
      <c r="D9" s="74"/>
      <c r="E9" s="75"/>
      <c r="F9" s="76"/>
      <c r="G9" s="144"/>
      <c r="H9" s="144"/>
      <c r="I9" s="144"/>
      <c r="J9" s="144"/>
      <c r="K9" s="77"/>
      <c r="L9" s="78"/>
      <c r="M9" s="144"/>
      <c r="N9" s="144"/>
      <c r="O9" s="144"/>
      <c r="P9" s="139"/>
      <c r="Q9" s="156"/>
      <c r="R9" s="160"/>
      <c r="S9" s="161"/>
      <c r="T9" s="79"/>
      <c r="U9" s="80"/>
      <c r="V9" s="72"/>
      <c r="W9" s="72"/>
      <c r="X9" s="72"/>
      <c r="Y9" s="72"/>
      <c r="Z9" s="81"/>
      <c r="AA9" s="82"/>
      <c r="AB9" s="72"/>
      <c r="AC9" s="72"/>
      <c r="AD9" s="72"/>
      <c r="AE9" s="72"/>
      <c r="AF9" s="161"/>
      <c r="AG9" s="83"/>
      <c r="AH9" s="84"/>
      <c r="AI9" s="85"/>
      <c r="AJ9" s="85"/>
      <c r="AK9" s="85"/>
      <c r="AL9" s="85"/>
      <c r="AM9" s="81"/>
      <c r="AN9" s="82"/>
      <c r="AO9" s="72"/>
      <c r="AP9" s="72"/>
      <c r="AQ9" s="72"/>
      <c r="AR9" s="72"/>
    </row>
    <row r="10" spans="1:44" s="86" customFormat="1" ht="71.25" customHeight="1">
      <c r="A10" s="162" t="s">
        <v>84</v>
      </c>
      <c r="B10" s="119">
        <f>K10</f>
        <v>76117.5</v>
      </c>
      <c r="C10" s="119">
        <v>0</v>
      </c>
      <c r="D10" s="163">
        <f>E10+F10</f>
        <v>76117.5</v>
      </c>
      <c r="E10" s="164">
        <f>69680+4662.4</f>
        <v>74342.399999999994</v>
      </c>
      <c r="F10" s="165">
        <f>G10+H10+I10+J10</f>
        <v>1775.1</v>
      </c>
      <c r="G10" s="166">
        <v>1775.1</v>
      </c>
      <c r="H10" s="166"/>
      <c r="I10" s="166">
        <f>0</f>
        <v>0</v>
      </c>
      <c r="J10" s="166"/>
      <c r="K10" s="167">
        <f>69680+4662.4+1775.1</f>
        <v>76117.5</v>
      </c>
      <c r="L10" s="121">
        <f>M10+N10+O10+P10</f>
        <v>0</v>
      </c>
      <c r="M10" s="120">
        <v>0</v>
      </c>
      <c r="N10" s="120">
        <v>0</v>
      </c>
      <c r="O10" s="120">
        <v>0</v>
      </c>
      <c r="P10" s="168">
        <v>0</v>
      </c>
      <c r="Q10" s="169"/>
      <c r="R10" s="170" t="s">
        <v>74</v>
      </c>
      <c r="S10" s="171">
        <f>T10+U10</f>
        <v>79014</v>
      </c>
      <c r="T10" s="122">
        <f>77167.4</f>
        <v>77167.399999999994</v>
      </c>
      <c r="U10" s="123">
        <f t="shared" ref="U10:U16" si="0">V10+W10+X10+Y10</f>
        <v>1846.6</v>
      </c>
      <c r="V10" s="124">
        <f>1846.6</f>
        <v>1846.6</v>
      </c>
      <c r="W10" s="124">
        <v>0</v>
      </c>
      <c r="X10" s="124">
        <v>0</v>
      </c>
      <c r="Y10" s="124">
        <v>0</v>
      </c>
      <c r="Z10" s="167">
        <f>77167.4+1846.6</f>
        <v>79014</v>
      </c>
      <c r="AA10" s="121">
        <f>AB10+AC10+AD10+AE10</f>
        <v>0</v>
      </c>
      <c r="AB10" s="120">
        <v>0</v>
      </c>
      <c r="AC10" s="120">
        <v>0</v>
      </c>
      <c r="AD10" s="120">
        <v>0</v>
      </c>
      <c r="AE10" s="120">
        <v>0</v>
      </c>
      <c r="AF10" s="171">
        <f t="shared" ref="AF10:AF16" si="1">AG10+AH10</f>
        <v>82014.100000000006</v>
      </c>
      <c r="AG10" s="122">
        <f>80099.8</f>
        <v>80099.8</v>
      </c>
      <c r="AH10" s="123">
        <f t="shared" ref="AH10:AH16" si="2">AI10+AJ10+AK10+AL10</f>
        <v>1914.3</v>
      </c>
      <c r="AI10" s="124">
        <f>1914.3</f>
        <v>1914.3</v>
      </c>
      <c r="AJ10" s="124">
        <v>0</v>
      </c>
      <c r="AK10" s="124">
        <v>0</v>
      </c>
      <c r="AL10" s="124">
        <f>0</f>
        <v>0</v>
      </c>
      <c r="AM10" s="167">
        <f>80099.8+1914.3</f>
        <v>82014.100000000006</v>
      </c>
      <c r="AN10" s="121">
        <f>AO10+AP10+AQ10+AR10</f>
        <v>0</v>
      </c>
      <c r="AO10" s="172">
        <v>0</v>
      </c>
      <c r="AP10" s="120">
        <v>0</v>
      </c>
      <c r="AQ10" s="120">
        <v>0</v>
      </c>
      <c r="AR10" s="120">
        <v>0</v>
      </c>
    </row>
    <row r="11" spans="1:44" s="86" customFormat="1" ht="101.25" customHeight="1">
      <c r="A11" s="162" t="s">
        <v>49</v>
      </c>
      <c r="B11" s="119">
        <f>K11</f>
        <v>5434.2</v>
      </c>
      <c r="C11" s="119">
        <f>L11</f>
        <v>1635</v>
      </c>
      <c r="D11" s="163">
        <f t="shared" ref="D11:D16" si="3">E11+F11</f>
        <v>5434.2</v>
      </c>
      <c r="E11" s="164">
        <v>5150</v>
      </c>
      <c r="F11" s="165">
        <f t="shared" ref="F11:F16" si="4">G11+H11+I11+J11</f>
        <v>284.20000000000005</v>
      </c>
      <c r="G11" s="166">
        <v>116.4</v>
      </c>
      <c r="H11" s="166">
        <v>0</v>
      </c>
      <c r="I11" s="166">
        <v>167.8</v>
      </c>
      <c r="J11" s="166">
        <v>0</v>
      </c>
      <c r="K11" s="167">
        <f>5150+116.4+167.8</f>
        <v>5434.2</v>
      </c>
      <c r="L11" s="121">
        <f t="shared" ref="L11:L16" si="5">M11+N11+O11+P11</f>
        <v>1635</v>
      </c>
      <c r="M11" s="120">
        <v>35</v>
      </c>
      <c r="N11" s="120">
        <v>1600</v>
      </c>
      <c r="O11" s="120">
        <v>0</v>
      </c>
      <c r="P11" s="168">
        <v>0</v>
      </c>
      <c r="Q11" s="169"/>
      <c r="R11" s="170" t="s">
        <v>49</v>
      </c>
      <c r="S11" s="171">
        <f t="shared" ref="S11:S16" si="6">T11+U11</f>
        <v>5697.6</v>
      </c>
      <c r="T11" s="122">
        <v>5407</v>
      </c>
      <c r="U11" s="123">
        <f t="shared" si="0"/>
        <v>290.60000000000002</v>
      </c>
      <c r="V11" s="124">
        <v>121</v>
      </c>
      <c r="W11" s="124">
        <f>0</f>
        <v>0</v>
      </c>
      <c r="X11" s="124">
        <v>0</v>
      </c>
      <c r="Y11" s="125">
        <v>169.6</v>
      </c>
      <c r="Z11" s="173">
        <f>5407+121+169.6</f>
        <v>5697.6</v>
      </c>
      <c r="AA11" s="121">
        <f t="shared" ref="AA11:AA16" si="7">AB11+AC11+AD11+AE11</f>
        <v>1635</v>
      </c>
      <c r="AB11" s="120">
        <v>35</v>
      </c>
      <c r="AC11" s="120">
        <v>1600</v>
      </c>
      <c r="AD11" s="120">
        <v>0</v>
      </c>
      <c r="AE11" s="120">
        <v>0</v>
      </c>
      <c r="AF11" s="171">
        <f t="shared" si="1"/>
        <v>5978.2</v>
      </c>
      <c r="AG11" s="122">
        <v>5677</v>
      </c>
      <c r="AH11" s="123">
        <f t="shared" si="2"/>
        <v>301.2</v>
      </c>
      <c r="AI11" s="124">
        <v>125.5</v>
      </c>
      <c r="AJ11" s="124">
        <v>0</v>
      </c>
      <c r="AK11" s="126">
        <v>0</v>
      </c>
      <c r="AL11" s="120">
        <v>175.7</v>
      </c>
      <c r="AM11" s="167">
        <f>5677+125.5+175.7</f>
        <v>5978.2</v>
      </c>
      <c r="AN11" s="121">
        <f t="shared" ref="AN11:AN16" si="8">AO11+AP11+AQ11+AR11</f>
        <v>1635</v>
      </c>
      <c r="AO11" s="172">
        <v>35</v>
      </c>
      <c r="AP11" s="120">
        <v>1600</v>
      </c>
      <c r="AQ11" s="120">
        <v>0</v>
      </c>
      <c r="AR11" s="120">
        <v>0</v>
      </c>
    </row>
    <row r="12" spans="1:44" s="86" customFormat="1" ht="73.5" customHeight="1">
      <c r="A12" s="162" t="s">
        <v>50</v>
      </c>
      <c r="B12" s="119">
        <f t="shared" ref="B12:C16" si="9">K12</f>
        <v>4415</v>
      </c>
      <c r="C12" s="119">
        <f t="shared" si="9"/>
        <v>1235</v>
      </c>
      <c r="D12" s="163">
        <f t="shared" si="3"/>
        <v>4415</v>
      </c>
      <c r="E12" s="164">
        <f>4239</f>
        <v>4239</v>
      </c>
      <c r="F12" s="165">
        <f t="shared" si="4"/>
        <v>176</v>
      </c>
      <c r="G12" s="166">
        <f>108.9</f>
        <v>108.9</v>
      </c>
      <c r="H12" s="166">
        <v>0</v>
      </c>
      <c r="I12" s="166">
        <f>67.1</f>
        <v>67.099999999999994</v>
      </c>
      <c r="J12" s="166">
        <f>0</f>
        <v>0</v>
      </c>
      <c r="K12" s="167">
        <f>4239+108.9+67.1</f>
        <v>4415</v>
      </c>
      <c r="L12" s="121">
        <f t="shared" si="5"/>
        <v>1235</v>
      </c>
      <c r="M12" s="120">
        <f>35</f>
        <v>35</v>
      </c>
      <c r="N12" s="120">
        <v>1200</v>
      </c>
      <c r="O12" s="120">
        <v>0</v>
      </c>
      <c r="P12" s="168">
        <f>0</f>
        <v>0</v>
      </c>
      <c r="Q12" s="169"/>
      <c r="R12" s="170" t="s">
        <v>50</v>
      </c>
      <c r="S12" s="171">
        <f t="shared" si="6"/>
        <v>4632.1000000000004</v>
      </c>
      <c r="T12" s="122">
        <f>4451</f>
        <v>4451</v>
      </c>
      <c r="U12" s="123">
        <f t="shared" si="0"/>
        <v>181.1</v>
      </c>
      <c r="V12" s="124">
        <f>113.3</f>
        <v>113.3</v>
      </c>
      <c r="W12" s="124">
        <v>0</v>
      </c>
      <c r="X12" s="124">
        <v>0</v>
      </c>
      <c r="Y12" s="124">
        <f>67.8</f>
        <v>67.8</v>
      </c>
      <c r="Z12" s="167">
        <f>4451+113.3+67.8</f>
        <v>4632.1000000000004</v>
      </c>
      <c r="AA12" s="121">
        <f t="shared" si="7"/>
        <v>1235</v>
      </c>
      <c r="AB12" s="120">
        <v>35</v>
      </c>
      <c r="AC12" s="120">
        <v>1200</v>
      </c>
      <c r="AD12" s="120">
        <v>0</v>
      </c>
      <c r="AE12" s="120">
        <f>0</f>
        <v>0</v>
      </c>
      <c r="AF12" s="171">
        <f t="shared" si="1"/>
        <v>4861.8</v>
      </c>
      <c r="AG12" s="122">
        <f>4674</f>
        <v>4674</v>
      </c>
      <c r="AH12" s="123">
        <f t="shared" si="2"/>
        <v>187.8</v>
      </c>
      <c r="AI12" s="124">
        <f>117.5</f>
        <v>117.5</v>
      </c>
      <c r="AJ12" s="124">
        <v>0</v>
      </c>
      <c r="AK12" s="124">
        <f>0</f>
        <v>0</v>
      </c>
      <c r="AL12" s="124">
        <v>70.3</v>
      </c>
      <c r="AM12" s="167">
        <f>4674+117.5+70.3</f>
        <v>4861.8</v>
      </c>
      <c r="AN12" s="121">
        <f t="shared" si="8"/>
        <v>1235</v>
      </c>
      <c r="AO12" s="172">
        <v>35</v>
      </c>
      <c r="AP12" s="120">
        <v>1200</v>
      </c>
      <c r="AQ12" s="120">
        <v>0</v>
      </c>
      <c r="AR12" s="120">
        <f>0</f>
        <v>0</v>
      </c>
    </row>
    <row r="13" spans="1:44" s="86" customFormat="1" ht="87.75" customHeight="1">
      <c r="A13" s="162" t="s">
        <v>51</v>
      </c>
      <c r="B13" s="119">
        <f t="shared" si="9"/>
        <v>3003.3</v>
      </c>
      <c r="C13" s="119">
        <f t="shared" si="9"/>
        <v>1225</v>
      </c>
      <c r="D13" s="163">
        <f t="shared" si="3"/>
        <v>3003.3</v>
      </c>
      <c r="E13" s="164">
        <f>2739</f>
        <v>2739</v>
      </c>
      <c r="F13" s="165">
        <f t="shared" si="4"/>
        <v>264.3</v>
      </c>
      <c r="G13" s="166">
        <f>96.5</f>
        <v>96.5</v>
      </c>
      <c r="H13" s="166">
        <v>0</v>
      </c>
      <c r="I13" s="166">
        <f>167.8</f>
        <v>167.8</v>
      </c>
      <c r="J13" s="166">
        <v>0</v>
      </c>
      <c r="K13" s="167">
        <f>2739+96.5+167.8</f>
        <v>3003.3</v>
      </c>
      <c r="L13" s="121">
        <f t="shared" si="5"/>
        <v>1225</v>
      </c>
      <c r="M13" s="120">
        <f>25</f>
        <v>25</v>
      </c>
      <c r="N13" s="120">
        <f>1200</f>
        <v>1200</v>
      </c>
      <c r="O13" s="120">
        <v>0</v>
      </c>
      <c r="P13" s="168">
        <v>0</v>
      </c>
      <c r="Q13" s="169"/>
      <c r="R13" s="170" t="s">
        <v>51</v>
      </c>
      <c r="S13" s="171">
        <f t="shared" si="6"/>
        <v>3146.1</v>
      </c>
      <c r="T13" s="122">
        <f>2876</f>
        <v>2876</v>
      </c>
      <c r="U13" s="123">
        <f t="shared" si="0"/>
        <v>270.10000000000002</v>
      </c>
      <c r="V13" s="124">
        <f>100.5</f>
        <v>100.5</v>
      </c>
      <c r="W13" s="124">
        <v>0</v>
      </c>
      <c r="X13" s="124">
        <v>0</v>
      </c>
      <c r="Y13" s="124">
        <f>169.6</f>
        <v>169.6</v>
      </c>
      <c r="Z13" s="167">
        <f>2876+100.5+169.6</f>
        <v>3146.1</v>
      </c>
      <c r="AA13" s="121">
        <f t="shared" si="7"/>
        <v>1225</v>
      </c>
      <c r="AB13" s="120">
        <f>25</f>
        <v>25</v>
      </c>
      <c r="AC13" s="120">
        <f>1200</f>
        <v>1200</v>
      </c>
      <c r="AD13" s="120">
        <v>0</v>
      </c>
      <c r="AE13" s="120">
        <v>0</v>
      </c>
      <c r="AF13" s="171">
        <f t="shared" si="1"/>
        <v>3299.8</v>
      </c>
      <c r="AG13" s="122">
        <f>3020</f>
        <v>3020</v>
      </c>
      <c r="AH13" s="123">
        <f t="shared" si="2"/>
        <v>279.79999999999995</v>
      </c>
      <c r="AI13" s="124">
        <f>104.1</f>
        <v>104.1</v>
      </c>
      <c r="AJ13" s="124">
        <f>0</f>
        <v>0</v>
      </c>
      <c r="AK13" s="124">
        <v>0</v>
      </c>
      <c r="AL13" s="124">
        <f>175.7</f>
        <v>175.7</v>
      </c>
      <c r="AM13" s="167">
        <f>3020+104.1+175.7</f>
        <v>3299.7999999999997</v>
      </c>
      <c r="AN13" s="121">
        <f t="shared" si="8"/>
        <v>1225</v>
      </c>
      <c r="AO13" s="172">
        <f>25</f>
        <v>25</v>
      </c>
      <c r="AP13" s="120">
        <f>1200</f>
        <v>1200</v>
      </c>
      <c r="AQ13" s="120">
        <v>0</v>
      </c>
      <c r="AR13" s="120">
        <v>0</v>
      </c>
    </row>
    <row r="14" spans="1:44" s="86" customFormat="1" ht="78" customHeight="1">
      <c r="A14" s="162" t="s">
        <v>52</v>
      </c>
      <c r="B14" s="119">
        <f t="shared" si="9"/>
        <v>5140.1000000000004</v>
      </c>
      <c r="C14" s="119">
        <f t="shared" si="9"/>
        <v>1338</v>
      </c>
      <c r="D14" s="163">
        <f t="shared" si="3"/>
        <v>5140.1000000000004</v>
      </c>
      <c r="E14" s="164">
        <f>4846</f>
        <v>4846</v>
      </c>
      <c r="F14" s="165">
        <f t="shared" si="4"/>
        <v>294.10000000000002</v>
      </c>
      <c r="G14" s="166">
        <f>126.3</f>
        <v>126.3</v>
      </c>
      <c r="H14" s="166">
        <v>0</v>
      </c>
      <c r="I14" s="166">
        <f>167.8</f>
        <v>167.8</v>
      </c>
      <c r="J14" s="166">
        <v>0</v>
      </c>
      <c r="K14" s="167">
        <f>4846+126.3+167.8</f>
        <v>5140.1000000000004</v>
      </c>
      <c r="L14" s="121">
        <f t="shared" si="5"/>
        <v>1338</v>
      </c>
      <c r="M14" s="120">
        <f>38</f>
        <v>38</v>
      </c>
      <c r="N14" s="120">
        <v>1300</v>
      </c>
      <c r="O14" s="120">
        <v>0</v>
      </c>
      <c r="P14" s="168">
        <v>0</v>
      </c>
      <c r="Q14" s="169"/>
      <c r="R14" s="170" t="s">
        <v>52</v>
      </c>
      <c r="S14" s="171">
        <f t="shared" si="6"/>
        <v>5389</v>
      </c>
      <c r="T14" s="122">
        <f>5088</f>
        <v>5088</v>
      </c>
      <c r="U14" s="123">
        <f t="shared" si="0"/>
        <v>301</v>
      </c>
      <c r="V14" s="124">
        <f>131.4</f>
        <v>131.4</v>
      </c>
      <c r="W14" s="124">
        <v>0</v>
      </c>
      <c r="X14" s="124">
        <v>0</v>
      </c>
      <c r="Y14" s="124">
        <f>169.6</f>
        <v>169.6</v>
      </c>
      <c r="Z14" s="167">
        <f>5088+131.4+169.6</f>
        <v>5389</v>
      </c>
      <c r="AA14" s="121">
        <f t="shared" si="7"/>
        <v>1338</v>
      </c>
      <c r="AB14" s="120">
        <f>38</f>
        <v>38</v>
      </c>
      <c r="AC14" s="120">
        <v>1300</v>
      </c>
      <c r="AD14" s="120">
        <v>0</v>
      </c>
      <c r="AE14" s="120">
        <v>0</v>
      </c>
      <c r="AF14" s="171">
        <f t="shared" si="1"/>
        <v>5654.9</v>
      </c>
      <c r="AG14" s="122">
        <f>5343</f>
        <v>5343</v>
      </c>
      <c r="AH14" s="123">
        <f t="shared" si="2"/>
        <v>311.89999999999998</v>
      </c>
      <c r="AI14" s="124">
        <f>136.2</f>
        <v>136.19999999999999</v>
      </c>
      <c r="AJ14" s="124">
        <f>0</f>
        <v>0</v>
      </c>
      <c r="AK14" s="124">
        <f>0</f>
        <v>0</v>
      </c>
      <c r="AL14" s="124">
        <f>175.7</f>
        <v>175.7</v>
      </c>
      <c r="AM14" s="167">
        <f>5343+136.2+175.7</f>
        <v>5654.9</v>
      </c>
      <c r="AN14" s="121">
        <f t="shared" si="8"/>
        <v>1338</v>
      </c>
      <c r="AO14" s="172">
        <f>38</f>
        <v>38</v>
      </c>
      <c r="AP14" s="120">
        <v>1300</v>
      </c>
      <c r="AQ14" s="120">
        <v>0</v>
      </c>
      <c r="AR14" s="120">
        <v>0</v>
      </c>
    </row>
    <row r="15" spans="1:44" s="86" customFormat="1" ht="87.75" customHeight="1">
      <c r="A15" s="162" t="s">
        <v>53</v>
      </c>
      <c r="B15" s="119">
        <f t="shared" si="9"/>
        <v>3274</v>
      </c>
      <c r="C15" s="119">
        <f t="shared" si="9"/>
        <v>428</v>
      </c>
      <c r="D15" s="163">
        <f t="shared" si="3"/>
        <v>3274</v>
      </c>
      <c r="E15" s="164">
        <f>2970</f>
        <v>2970</v>
      </c>
      <c r="F15" s="165">
        <f t="shared" si="4"/>
        <v>304</v>
      </c>
      <c r="G15" s="166">
        <f>136.2</f>
        <v>136.19999999999999</v>
      </c>
      <c r="H15" s="166">
        <v>0</v>
      </c>
      <c r="I15" s="166">
        <f>167.8</f>
        <v>167.8</v>
      </c>
      <c r="J15" s="166">
        <f>0</f>
        <v>0</v>
      </c>
      <c r="K15" s="167">
        <f>2970+136.2+167.8</f>
        <v>3274</v>
      </c>
      <c r="L15" s="121">
        <f t="shared" si="5"/>
        <v>428</v>
      </c>
      <c r="M15" s="120">
        <f>28</f>
        <v>28</v>
      </c>
      <c r="N15" s="120">
        <f>400</f>
        <v>400</v>
      </c>
      <c r="O15" s="120">
        <v>0</v>
      </c>
      <c r="P15" s="168">
        <v>0</v>
      </c>
      <c r="Q15" s="169"/>
      <c r="R15" s="170" t="s">
        <v>53</v>
      </c>
      <c r="S15" s="171">
        <f t="shared" si="6"/>
        <v>3430.3</v>
      </c>
      <c r="T15" s="122">
        <f>3119</f>
        <v>3119</v>
      </c>
      <c r="U15" s="123">
        <f t="shared" si="0"/>
        <v>311.29999999999995</v>
      </c>
      <c r="V15" s="124">
        <f>141.7</f>
        <v>141.69999999999999</v>
      </c>
      <c r="W15" s="124">
        <v>0</v>
      </c>
      <c r="X15" s="124">
        <v>0</v>
      </c>
      <c r="Y15" s="124">
        <f>169.6</f>
        <v>169.6</v>
      </c>
      <c r="Z15" s="167">
        <f>3119+141.7+169.6</f>
        <v>3430.2999999999997</v>
      </c>
      <c r="AA15" s="121">
        <f t="shared" si="7"/>
        <v>428</v>
      </c>
      <c r="AB15" s="120">
        <f>28</f>
        <v>28</v>
      </c>
      <c r="AC15" s="120">
        <f>400</f>
        <v>400</v>
      </c>
      <c r="AD15" s="120">
        <v>0</v>
      </c>
      <c r="AE15" s="120">
        <v>0</v>
      </c>
      <c r="AF15" s="171">
        <f t="shared" si="1"/>
        <v>3596.5</v>
      </c>
      <c r="AG15" s="122">
        <f>3274</f>
        <v>3274</v>
      </c>
      <c r="AH15" s="123">
        <f t="shared" si="2"/>
        <v>322.5</v>
      </c>
      <c r="AI15" s="124">
        <f>146.8</f>
        <v>146.80000000000001</v>
      </c>
      <c r="AJ15" s="124">
        <f>0</f>
        <v>0</v>
      </c>
      <c r="AK15" s="124">
        <f>0</f>
        <v>0</v>
      </c>
      <c r="AL15" s="124">
        <f>175.7</f>
        <v>175.7</v>
      </c>
      <c r="AM15" s="167">
        <f>3274+146.8+175.7</f>
        <v>3596.5</v>
      </c>
      <c r="AN15" s="121">
        <f t="shared" si="8"/>
        <v>428</v>
      </c>
      <c r="AO15" s="172">
        <f>28</f>
        <v>28</v>
      </c>
      <c r="AP15" s="120">
        <f>400</f>
        <v>400</v>
      </c>
      <c r="AQ15" s="120">
        <v>0</v>
      </c>
      <c r="AR15" s="120">
        <v>0</v>
      </c>
    </row>
    <row r="16" spans="1:44" s="86" customFormat="1" ht="93.75" customHeight="1">
      <c r="A16" s="162" t="s">
        <v>54</v>
      </c>
      <c r="B16" s="119">
        <f t="shared" si="9"/>
        <v>4085.2000000000003</v>
      </c>
      <c r="C16" s="119">
        <f t="shared" si="9"/>
        <v>1030</v>
      </c>
      <c r="D16" s="163">
        <f t="shared" si="3"/>
        <v>4085.2</v>
      </c>
      <c r="E16" s="164">
        <f>3801</f>
        <v>3801</v>
      </c>
      <c r="F16" s="165">
        <f t="shared" si="4"/>
        <v>284.20000000000005</v>
      </c>
      <c r="G16" s="166">
        <f>116.4</f>
        <v>116.4</v>
      </c>
      <c r="H16" s="166">
        <v>0</v>
      </c>
      <c r="I16" s="166">
        <f>167.8</f>
        <v>167.8</v>
      </c>
      <c r="J16" s="166">
        <v>0</v>
      </c>
      <c r="K16" s="167">
        <f>3801+116.4+167.8</f>
        <v>4085.2000000000003</v>
      </c>
      <c r="L16" s="121">
        <f t="shared" si="5"/>
        <v>1030</v>
      </c>
      <c r="M16" s="120">
        <f>30</f>
        <v>30</v>
      </c>
      <c r="N16" s="120">
        <f>1000</f>
        <v>1000</v>
      </c>
      <c r="O16" s="120">
        <v>0</v>
      </c>
      <c r="P16" s="168">
        <f>0</f>
        <v>0</v>
      </c>
      <c r="Q16" s="169"/>
      <c r="R16" s="170" t="s">
        <v>54</v>
      </c>
      <c r="S16" s="171">
        <f t="shared" si="6"/>
        <v>4281.6000000000004</v>
      </c>
      <c r="T16" s="122">
        <f>3991</f>
        <v>3991</v>
      </c>
      <c r="U16" s="123">
        <f t="shared" si="0"/>
        <v>290.60000000000002</v>
      </c>
      <c r="V16" s="124">
        <f>121</f>
        <v>121</v>
      </c>
      <c r="W16" s="124">
        <v>0</v>
      </c>
      <c r="X16" s="124">
        <v>0</v>
      </c>
      <c r="Y16" s="124">
        <f>169.6</f>
        <v>169.6</v>
      </c>
      <c r="Z16" s="167">
        <f>3991+121+169.6</f>
        <v>4281.6000000000004</v>
      </c>
      <c r="AA16" s="121">
        <f t="shared" si="7"/>
        <v>1030</v>
      </c>
      <c r="AB16" s="120">
        <f>30</f>
        <v>30</v>
      </c>
      <c r="AC16" s="120">
        <f>1000</f>
        <v>1000</v>
      </c>
      <c r="AD16" s="120">
        <v>0</v>
      </c>
      <c r="AE16" s="120">
        <f>0</f>
        <v>0</v>
      </c>
      <c r="AF16" s="171">
        <f t="shared" si="1"/>
        <v>4492.2</v>
      </c>
      <c r="AG16" s="122">
        <f>4191</f>
        <v>4191</v>
      </c>
      <c r="AH16" s="123">
        <f t="shared" si="2"/>
        <v>301.2</v>
      </c>
      <c r="AI16" s="124">
        <f>125.5</f>
        <v>125.5</v>
      </c>
      <c r="AJ16" s="124">
        <f>0</f>
        <v>0</v>
      </c>
      <c r="AK16" s="124">
        <f>0</f>
        <v>0</v>
      </c>
      <c r="AL16" s="124">
        <f>175.7</f>
        <v>175.7</v>
      </c>
      <c r="AM16" s="167">
        <f>4191+125.5+175.7</f>
        <v>4492.2</v>
      </c>
      <c r="AN16" s="121">
        <f t="shared" si="8"/>
        <v>1030</v>
      </c>
      <c r="AO16" s="172">
        <f>30</f>
        <v>30</v>
      </c>
      <c r="AP16" s="120">
        <f>1000</f>
        <v>1000</v>
      </c>
      <c r="AQ16" s="120">
        <v>0</v>
      </c>
      <c r="AR16" s="120">
        <f>0</f>
        <v>0</v>
      </c>
    </row>
    <row r="17" spans="1:44" s="132" customFormat="1" ht="90" customHeight="1" thickBot="1">
      <c r="A17" s="174" t="s">
        <v>55</v>
      </c>
      <c r="B17" s="127">
        <f t="shared" ref="B17:AR17" si="10">B10+B11+B12+B13+B14+B15+B16</f>
        <v>101469.3</v>
      </c>
      <c r="C17" s="127">
        <f t="shared" si="10"/>
        <v>6891</v>
      </c>
      <c r="D17" s="163">
        <f t="shared" si="10"/>
        <v>101469.3</v>
      </c>
      <c r="E17" s="128">
        <f t="shared" si="10"/>
        <v>98087.4</v>
      </c>
      <c r="F17" s="129">
        <f t="shared" si="10"/>
        <v>3381.9000000000005</v>
      </c>
      <c r="G17" s="130">
        <f t="shared" si="10"/>
        <v>2475.8000000000002</v>
      </c>
      <c r="H17" s="130">
        <f t="shared" si="10"/>
        <v>0</v>
      </c>
      <c r="I17" s="130">
        <f t="shared" si="10"/>
        <v>906.09999999999991</v>
      </c>
      <c r="J17" s="130">
        <f t="shared" si="10"/>
        <v>0</v>
      </c>
      <c r="K17" s="167">
        <f t="shared" si="10"/>
        <v>101469.3</v>
      </c>
      <c r="L17" s="131">
        <f t="shared" si="10"/>
        <v>6891</v>
      </c>
      <c r="M17" s="175">
        <f t="shared" si="10"/>
        <v>191</v>
      </c>
      <c r="N17" s="175">
        <f t="shared" si="10"/>
        <v>6700</v>
      </c>
      <c r="O17" s="130">
        <f t="shared" si="10"/>
        <v>0</v>
      </c>
      <c r="P17" s="176">
        <f t="shared" si="10"/>
        <v>0</v>
      </c>
      <c r="Q17" s="177"/>
      <c r="R17" s="178"/>
      <c r="S17" s="163">
        <f t="shared" si="10"/>
        <v>105590.70000000003</v>
      </c>
      <c r="T17" s="128">
        <f t="shared" si="10"/>
        <v>102099.4</v>
      </c>
      <c r="U17" s="129">
        <f t="shared" si="10"/>
        <v>3491.2999999999997</v>
      </c>
      <c r="V17" s="130">
        <f t="shared" si="10"/>
        <v>2575.5</v>
      </c>
      <c r="W17" s="130">
        <f t="shared" si="10"/>
        <v>0</v>
      </c>
      <c r="X17" s="130">
        <f t="shared" si="10"/>
        <v>0</v>
      </c>
      <c r="Y17" s="130">
        <f t="shared" si="10"/>
        <v>915.80000000000007</v>
      </c>
      <c r="Z17" s="167">
        <f t="shared" si="10"/>
        <v>105590.70000000003</v>
      </c>
      <c r="AA17" s="131">
        <f t="shared" si="10"/>
        <v>6891</v>
      </c>
      <c r="AB17" s="130">
        <f t="shared" si="10"/>
        <v>191</v>
      </c>
      <c r="AC17" s="130">
        <f t="shared" si="10"/>
        <v>6700</v>
      </c>
      <c r="AD17" s="130">
        <f t="shared" si="10"/>
        <v>0</v>
      </c>
      <c r="AE17" s="130">
        <f t="shared" si="10"/>
        <v>0</v>
      </c>
      <c r="AF17" s="163">
        <f t="shared" si="10"/>
        <v>109897.5</v>
      </c>
      <c r="AG17" s="128">
        <f t="shared" si="10"/>
        <v>106278.8</v>
      </c>
      <c r="AH17" s="129">
        <f t="shared" si="10"/>
        <v>3618.7000000000003</v>
      </c>
      <c r="AI17" s="130">
        <f t="shared" si="10"/>
        <v>2669.9</v>
      </c>
      <c r="AJ17" s="130">
        <f t="shared" si="10"/>
        <v>0</v>
      </c>
      <c r="AK17" s="130">
        <f t="shared" si="10"/>
        <v>0</v>
      </c>
      <c r="AL17" s="130">
        <f t="shared" si="10"/>
        <v>948.8</v>
      </c>
      <c r="AM17" s="167">
        <f t="shared" si="10"/>
        <v>109897.5</v>
      </c>
      <c r="AN17" s="131">
        <f t="shared" si="10"/>
        <v>6891</v>
      </c>
      <c r="AO17" s="175">
        <f t="shared" si="10"/>
        <v>191</v>
      </c>
      <c r="AP17" s="130">
        <f t="shared" si="10"/>
        <v>6700</v>
      </c>
      <c r="AQ17" s="130">
        <f t="shared" si="10"/>
        <v>0</v>
      </c>
      <c r="AR17" s="130">
        <f t="shared" si="10"/>
        <v>0</v>
      </c>
    </row>
    <row r="18" spans="1:44" s="86" customFormat="1" ht="35.1" customHeight="1">
      <c r="A18" s="179"/>
      <c r="B18" s="87"/>
      <c r="C18" s="87"/>
      <c r="D18" s="87"/>
      <c r="E18" s="87"/>
      <c r="F18" s="87"/>
      <c r="G18" s="87"/>
      <c r="H18" s="87"/>
      <c r="I18" s="87"/>
      <c r="J18" s="87"/>
      <c r="K18" s="88"/>
      <c r="L18" s="87"/>
      <c r="M18" s="87"/>
      <c r="N18" s="87"/>
      <c r="O18" s="87"/>
      <c r="P18" s="87"/>
      <c r="Q18" s="87"/>
      <c r="R18" s="180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180"/>
      <c r="AG18" s="87"/>
      <c r="AH18" s="87"/>
      <c r="AI18" s="87"/>
      <c r="AJ18" s="87"/>
      <c r="AK18" s="87"/>
      <c r="AL18" s="87"/>
      <c r="AM18" s="89"/>
      <c r="AN18" s="89"/>
    </row>
    <row r="19" spans="1:44" s="86" customFormat="1" ht="35.1" customHeight="1">
      <c r="A19" s="179"/>
      <c r="K19" s="66"/>
      <c r="R19" s="181"/>
      <c r="AF19" s="181"/>
      <c r="AM19" s="89"/>
      <c r="AN19" s="89"/>
    </row>
    <row r="20" spans="1:44" s="86" customFormat="1" ht="35.1" customHeight="1">
      <c r="A20" s="179"/>
      <c r="K20" s="66"/>
      <c r="R20" s="181"/>
      <c r="AF20" s="181"/>
      <c r="AM20" s="89"/>
      <c r="AN20" s="89"/>
    </row>
    <row r="21" spans="1:44" s="86" customFormat="1" ht="35.1" customHeight="1">
      <c r="A21" s="179"/>
      <c r="K21" s="66"/>
      <c r="R21" s="181"/>
      <c r="AF21" s="181"/>
      <c r="AM21" s="89"/>
      <c r="AN21" s="89"/>
    </row>
    <row r="22" spans="1:44" s="86" customFormat="1" ht="35.1" customHeight="1">
      <c r="A22" s="179"/>
      <c r="K22" s="66"/>
      <c r="R22" s="181"/>
      <c r="AF22" s="181"/>
      <c r="AM22" s="89"/>
      <c r="AN22" s="89"/>
    </row>
    <row r="23" spans="1:44" s="86" customFormat="1" ht="35.1" customHeight="1">
      <c r="A23" s="179"/>
      <c r="K23" s="66"/>
      <c r="R23" s="181"/>
      <c r="AF23" s="181"/>
      <c r="AM23" s="89"/>
      <c r="AN23" s="89"/>
    </row>
    <row r="24" spans="1:44" ht="35.1" customHeight="1"/>
    <row r="25" spans="1:44" ht="35.1" customHeight="1"/>
    <row r="26" spans="1:44" ht="35.1" customHeight="1"/>
    <row r="27" spans="1:44" ht="35.1" customHeight="1"/>
    <row r="28" spans="1:44" ht="35.1" customHeight="1"/>
    <row r="29" spans="1:44" ht="35.1" customHeight="1"/>
    <row r="30" spans="1:44" ht="35.1" customHeight="1"/>
    <row r="31" spans="1:44" ht="35.1" customHeight="1"/>
  </sheetData>
  <mergeCells count="32">
    <mergeCell ref="AG7:AH7"/>
    <mergeCell ref="AI7:AL7"/>
    <mergeCell ref="G7:J7"/>
    <mergeCell ref="K7:K8"/>
    <mergeCell ref="L7:L8"/>
    <mergeCell ref="M7:P7"/>
    <mergeCell ref="T7:U7"/>
    <mergeCell ref="V7:Y7"/>
    <mergeCell ref="Z7:Z8"/>
    <mergeCell ref="AA7:AA8"/>
    <mergeCell ref="AB7:AE7"/>
    <mergeCell ref="AF7:AF8"/>
    <mergeCell ref="A1:P2"/>
    <mergeCell ref="A4:A8"/>
    <mergeCell ref="B4:C5"/>
    <mergeCell ref="D4:P4"/>
    <mergeCell ref="R4:AR4"/>
    <mergeCell ref="D5:P5"/>
    <mergeCell ref="R5:AE5"/>
    <mergeCell ref="AF5:AR5"/>
    <mergeCell ref="AO7:AR7"/>
    <mergeCell ref="S7:S8"/>
    <mergeCell ref="D6:P6"/>
    <mergeCell ref="R6:AE6"/>
    <mergeCell ref="AF6:AR6"/>
    <mergeCell ref="B7:B8"/>
    <mergeCell ref="C7:C8"/>
    <mergeCell ref="D7:D8"/>
    <mergeCell ref="E7:E8"/>
    <mergeCell ref="F7:F8"/>
    <mergeCell ref="AM7:AM8"/>
    <mergeCell ref="AN7:AN8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3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Пр.1 Осн.пар.конс.бюдж.2018-20</vt:lpstr>
      <vt:lpstr>Пр.2 Осн.пар.бюджРМР 2018-20</vt:lpstr>
      <vt:lpstr>Прил4 Дот.обл.18-20</vt:lpstr>
      <vt:lpstr>Данные для свода пос.2018-2020</vt:lpstr>
      <vt:lpstr>'Пр.1 Осн.пар.конс.бюдж.2018-20'!Область_печати</vt:lpstr>
      <vt:lpstr>'Прил4 Дот.обл.18-20'!Область_печати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2017-11-08T11:21:53Z</cp:lastPrinted>
  <dcterms:created xsi:type="dcterms:W3CDTF">2006-09-28T05:33:49Z</dcterms:created>
  <dcterms:modified xsi:type="dcterms:W3CDTF">2017-11-08T11:22:02Z</dcterms:modified>
</cp:coreProperties>
</file>