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firstSheet="1" activeTab="1"/>
  </bookViews>
  <sheets>
    <sheet name="Осн.парам.бюдж.г.Ртищ.2019-2021" sheetId="12" r:id="rId1"/>
    <sheet name="Расх КВСР ФСР ЦСР ВР 2019-21" sheetId="17" r:id="rId2"/>
    <sheet name="Справочно город 2019-2021" sheetId="18" r:id="rId3"/>
  </sheets>
  <definedNames>
    <definedName name="_xlnm.Print_Area" localSheetId="0">'Осн.парам.бюдж.г.Ртищ.2019-2021'!$A$1:$F$50</definedName>
    <definedName name="_xlnm.Print_Area" localSheetId="1">'Расх КВСР ФСР ЦСР ВР 2019-21'!$A$1:$N$600</definedName>
  </definedNames>
  <calcPr calcId="124519"/>
</workbook>
</file>

<file path=xl/calcChain.xml><?xml version="1.0" encoding="utf-8"?>
<calcChain xmlns="http://schemas.openxmlformats.org/spreadsheetml/2006/main">
  <c r="M180" i="17"/>
  <c r="M176"/>
  <c r="L180"/>
  <c r="L176"/>
  <c r="M98"/>
  <c r="L98"/>
  <c r="M437"/>
  <c r="L437"/>
  <c r="F21" i="12"/>
  <c r="AN16" i="18" l="1"/>
  <c r="AN15"/>
  <c r="AN14"/>
  <c r="AN13"/>
  <c r="AN12"/>
  <c r="AN11"/>
  <c r="AN10"/>
  <c r="AJ16"/>
  <c r="AJ15"/>
  <c r="AJ14"/>
  <c r="AJ13"/>
  <c r="AJ12"/>
  <c r="AJ11"/>
  <c r="AJ10"/>
  <c r="K173" i="17"/>
  <c r="M27"/>
  <c r="L27"/>
  <c r="M40"/>
  <c r="L40"/>
  <c r="M46"/>
  <c r="L46"/>
  <c r="L104"/>
  <c r="L573"/>
  <c r="M562"/>
  <c r="L562"/>
  <c r="M539"/>
  <c r="L539"/>
  <c r="M190"/>
  <c r="M351"/>
  <c r="L351"/>
  <c r="M310"/>
  <c r="L310"/>
  <c r="M269"/>
  <c r="L269"/>
  <c r="M303"/>
  <c r="M237"/>
  <c r="L237"/>
  <c r="L262"/>
  <c r="M230"/>
  <c r="L230"/>
  <c r="M223"/>
  <c r="L223"/>
  <c r="M216"/>
  <c r="L216"/>
  <c r="M209"/>
  <c r="L209"/>
  <c r="L303"/>
  <c r="F16" i="12"/>
  <c r="E16"/>
  <c r="E21"/>
  <c r="AR17" i="18"/>
  <c r="AQ17"/>
  <c r="AE17"/>
  <c r="AD17"/>
  <c r="Z17"/>
  <c r="Y17"/>
  <c r="W17"/>
  <c r="P17"/>
  <c r="O17"/>
  <c r="I17"/>
  <c r="H17"/>
  <c r="AS16"/>
  <c r="AP16"/>
  <c r="AO16"/>
  <c r="AM16"/>
  <c r="AL16"/>
  <c r="AK16"/>
  <c r="AI16"/>
  <c r="AH16"/>
  <c r="AG16"/>
  <c r="AF16"/>
  <c r="AC16"/>
  <c r="AB16"/>
  <c r="AA16"/>
  <c r="V16"/>
  <c r="T16"/>
  <c r="Q16"/>
  <c r="N16"/>
  <c r="M16"/>
  <c r="L16"/>
  <c r="G16"/>
  <c r="E16"/>
  <c r="D16"/>
  <c r="C16"/>
  <c r="AP15"/>
  <c r="AO15"/>
  <c r="AM15"/>
  <c r="AL15"/>
  <c r="AK15"/>
  <c r="AI15"/>
  <c r="AH15"/>
  <c r="AG15"/>
  <c r="AC15"/>
  <c r="AB15"/>
  <c r="AA15"/>
  <c r="V15"/>
  <c r="U15"/>
  <c r="T15"/>
  <c r="N15"/>
  <c r="M15"/>
  <c r="L15"/>
  <c r="K15"/>
  <c r="G15"/>
  <c r="E15"/>
  <c r="D15"/>
  <c r="C15"/>
  <c r="AP14"/>
  <c r="AO14"/>
  <c r="AL14"/>
  <c r="AK14"/>
  <c r="AI14"/>
  <c r="AH14"/>
  <c r="AG14"/>
  <c r="AC14"/>
  <c r="AB14"/>
  <c r="AA14"/>
  <c r="V14"/>
  <c r="U14"/>
  <c r="T14"/>
  <c r="N14"/>
  <c r="M14"/>
  <c r="L14"/>
  <c r="G14"/>
  <c r="E14"/>
  <c r="D14"/>
  <c r="C14"/>
  <c r="AP13"/>
  <c r="AP17" s="1"/>
  <c r="AO13"/>
  <c r="AK13"/>
  <c r="AK17" s="1"/>
  <c r="AI13"/>
  <c r="AH13"/>
  <c r="AG13"/>
  <c r="AC13"/>
  <c r="AC17" s="1"/>
  <c r="AB13"/>
  <c r="AA13"/>
  <c r="V13"/>
  <c r="U13"/>
  <c r="T13"/>
  <c r="N13"/>
  <c r="M13"/>
  <c r="L13"/>
  <c r="G13"/>
  <c r="E13"/>
  <c r="D13"/>
  <c r="C13"/>
  <c r="AS12"/>
  <c r="AS17" s="1"/>
  <c r="AO12"/>
  <c r="AL12"/>
  <c r="AL17" s="1"/>
  <c r="AI12"/>
  <c r="AG12"/>
  <c r="AF12"/>
  <c r="AF17" s="1"/>
  <c r="AB12"/>
  <c r="AA12"/>
  <c r="V12"/>
  <c r="U12"/>
  <c r="T12"/>
  <c r="Q12"/>
  <c r="Q17" s="1"/>
  <c r="N12"/>
  <c r="N17" s="1"/>
  <c r="M12"/>
  <c r="L12"/>
  <c r="K12"/>
  <c r="K17" s="1"/>
  <c r="G12"/>
  <c r="E12"/>
  <c r="D12"/>
  <c r="C12"/>
  <c r="AO11"/>
  <c r="AI11"/>
  <c r="AH11"/>
  <c r="AG11"/>
  <c r="AB11"/>
  <c r="AA11"/>
  <c r="X11"/>
  <c r="X17" s="1"/>
  <c r="V11"/>
  <c r="U11"/>
  <c r="T11"/>
  <c r="M11"/>
  <c r="L11"/>
  <c r="G11"/>
  <c r="E11"/>
  <c r="D11"/>
  <c r="D17" s="1"/>
  <c r="C11"/>
  <c r="AO10"/>
  <c r="AO17" s="1"/>
  <c r="AN17"/>
  <c r="AM10"/>
  <c r="AM17" s="1"/>
  <c r="AJ17"/>
  <c r="AI10"/>
  <c r="AI17" s="1"/>
  <c r="AH10"/>
  <c r="AH17" s="1"/>
  <c r="AG10"/>
  <c r="AG17" s="1"/>
  <c r="AB10"/>
  <c r="AB17" s="1"/>
  <c r="AA10"/>
  <c r="AA17" s="1"/>
  <c r="V10"/>
  <c r="V17" s="1"/>
  <c r="U10"/>
  <c r="U17" s="1"/>
  <c r="T10"/>
  <c r="T17" s="1"/>
  <c r="M10"/>
  <c r="M17" s="1"/>
  <c r="L10"/>
  <c r="L17" s="1"/>
  <c r="J10"/>
  <c r="J17" s="1"/>
  <c r="G10"/>
  <c r="G17" s="1"/>
  <c r="F10"/>
  <c r="F17" s="1"/>
  <c r="E10"/>
  <c r="E17" s="1"/>
  <c r="C10"/>
  <c r="C17" s="1"/>
  <c r="D21" i="12" l="1"/>
  <c r="D24"/>
  <c r="D16" l="1"/>
  <c r="M148" i="17" l="1"/>
  <c r="L148"/>
  <c r="M130"/>
  <c r="L130"/>
  <c r="M128"/>
  <c r="L128"/>
  <c r="M596" l="1"/>
  <c r="L596"/>
  <c r="M595"/>
  <c r="L595"/>
  <c r="M594"/>
  <c r="L594"/>
  <c r="M593"/>
  <c r="L593"/>
  <c r="M592"/>
  <c r="L592"/>
  <c r="M591"/>
  <c r="L591"/>
  <c r="M590"/>
  <c r="L590"/>
  <c r="M589"/>
  <c r="L589"/>
  <c r="M588"/>
  <c r="L588"/>
  <c r="M587"/>
  <c r="L587"/>
  <c r="M586"/>
  <c r="L586"/>
  <c r="M585"/>
  <c r="L585"/>
  <c r="M584"/>
  <c r="L584"/>
  <c r="M583"/>
  <c r="L583"/>
  <c r="M582"/>
  <c r="L582"/>
  <c r="M581"/>
  <c r="L581"/>
  <c r="M580"/>
  <c r="L580"/>
  <c r="M579"/>
  <c r="L579"/>
  <c r="M578"/>
  <c r="L578"/>
  <c r="M577"/>
  <c r="L577"/>
  <c r="M576"/>
  <c r="L576"/>
  <c r="M575"/>
  <c r="L575"/>
  <c r="M574"/>
  <c r="L574"/>
  <c r="M573"/>
  <c r="M572"/>
  <c r="L572"/>
  <c r="M571"/>
  <c r="L571"/>
  <c r="M570"/>
  <c r="L570"/>
  <c r="M569"/>
  <c r="L569"/>
  <c r="M568"/>
  <c r="L568"/>
  <c r="M567"/>
  <c r="L567"/>
  <c r="M566"/>
  <c r="L566"/>
  <c r="M565"/>
  <c r="L565"/>
  <c r="M564"/>
  <c r="L564"/>
  <c r="M563"/>
  <c r="L563"/>
  <c r="M561"/>
  <c r="L561"/>
  <c r="M560"/>
  <c r="L560"/>
  <c r="M559"/>
  <c r="L559"/>
  <c r="M558"/>
  <c r="L558"/>
  <c r="M557"/>
  <c r="L557"/>
  <c r="M556"/>
  <c r="L556"/>
  <c r="M554"/>
  <c r="L554"/>
  <c r="M553"/>
  <c r="L553"/>
  <c r="M552"/>
  <c r="L552"/>
  <c r="M550"/>
  <c r="L550"/>
  <c r="M549"/>
  <c r="L549"/>
  <c r="M547"/>
  <c r="L547"/>
  <c r="M546"/>
  <c r="L546"/>
  <c r="M544"/>
  <c r="L544"/>
  <c r="M543"/>
  <c r="L543"/>
  <c r="M541"/>
  <c r="L541"/>
  <c r="M540"/>
  <c r="L540"/>
  <c r="M538"/>
  <c r="L538"/>
  <c r="M537"/>
  <c r="L537"/>
  <c r="M536"/>
  <c r="L536"/>
  <c r="M535"/>
  <c r="L535"/>
  <c r="M534"/>
  <c r="L534"/>
  <c r="M533"/>
  <c r="L533"/>
  <c r="M532"/>
  <c r="L532"/>
  <c r="M531"/>
  <c r="L531"/>
  <c r="M530"/>
  <c r="L530"/>
  <c r="M529"/>
  <c r="L529"/>
  <c r="M528"/>
  <c r="L528"/>
  <c r="M527"/>
  <c r="L527"/>
  <c r="M526"/>
  <c r="L526"/>
  <c r="M525"/>
  <c r="L525"/>
  <c r="M524"/>
  <c r="L524"/>
  <c r="M523"/>
  <c r="L523"/>
  <c r="M522"/>
  <c r="L522"/>
  <c r="M521"/>
  <c r="L521"/>
  <c r="M520"/>
  <c r="L520"/>
  <c r="M519"/>
  <c r="L519"/>
  <c r="M518"/>
  <c r="L518"/>
  <c r="M517"/>
  <c r="L517"/>
  <c r="M516"/>
  <c r="L516"/>
  <c r="M515"/>
  <c r="L515"/>
  <c r="M514"/>
  <c r="L514"/>
  <c r="M513"/>
  <c r="L513"/>
  <c r="M512"/>
  <c r="L512"/>
  <c r="M511"/>
  <c r="L511"/>
  <c r="M510"/>
  <c r="L510"/>
  <c r="M509"/>
  <c r="L509"/>
  <c r="M508"/>
  <c r="L508"/>
  <c r="M507"/>
  <c r="L507"/>
  <c r="M506"/>
  <c r="L506"/>
  <c r="M505"/>
  <c r="L505"/>
  <c r="M504"/>
  <c r="L504"/>
  <c r="M503"/>
  <c r="L503"/>
  <c r="M502"/>
  <c r="L502"/>
  <c r="M501"/>
  <c r="L501"/>
  <c r="M500"/>
  <c r="L500"/>
  <c r="M499"/>
  <c r="L499"/>
  <c r="M498"/>
  <c r="L498"/>
  <c r="M497"/>
  <c r="L497"/>
  <c r="M496"/>
  <c r="L496"/>
  <c r="M495"/>
  <c r="L495"/>
  <c r="M494"/>
  <c r="L494"/>
  <c r="M493"/>
  <c r="L493"/>
  <c r="M492"/>
  <c r="L492"/>
  <c r="M491"/>
  <c r="L491"/>
  <c r="M490"/>
  <c r="L490"/>
  <c r="M489"/>
  <c r="L489"/>
  <c r="M488"/>
  <c r="L488"/>
  <c r="M487"/>
  <c r="L487"/>
  <c r="M486"/>
  <c r="L486"/>
  <c r="M485"/>
  <c r="L485"/>
  <c r="M484"/>
  <c r="L484"/>
  <c r="M483"/>
  <c r="L483"/>
  <c r="M482"/>
  <c r="L482"/>
  <c r="M481"/>
  <c r="L481"/>
  <c r="M480"/>
  <c r="L480"/>
  <c r="M479"/>
  <c r="L479"/>
  <c r="M478"/>
  <c r="L478"/>
  <c r="M477"/>
  <c r="L477"/>
  <c r="M476"/>
  <c r="L476"/>
  <c r="M475"/>
  <c r="L475"/>
  <c r="M474"/>
  <c r="L474"/>
  <c r="M473"/>
  <c r="L473"/>
  <c r="M472"/>
  <c r="L472"/>
  <c r="M471"/>
  <c r="L471"/>
  <c r="M470"/>
  <c r="L470"/>
  <c r="M469"/>
  <c r="L469"/>
  <c r="M468"/>
  <c r="L468"/>
  <c r="M467"/>
  <c r="L467"/>
  <c r="M466"/>
  <c r="L466"/>
  <c r="M465"/>
  <c r="L465"/>
  <c r="M463"/>
  <c r="L463"/>
  <c r="M462"/>
  <c r="L462"/>
  <c r="M460"/>
  <c r="L460"/>
  <c r="M459"/>
  <c r="L459"/>
  <c r="M458"/>
  <c r="L458"/>
  <c r="M456"/>
  <c r="L456"/>
  <c r="M455"/>
  <c r="L455"/>
  <c r="M453"/>
  <c r="L453"/>
  <c r="M452"/>
  <c r="L452"/>
  <c r="M451"/>
  <c r="L451"/>
  <c r="M450"/>
  <c r="L450"/>
  <c r="M448"/>
  <c r="L448"/>
  <c r="M447"/>
  <c r="L447"/>
  <c r="M445"/>
  <c r="L445"/>
  <c r="M444"/>
  <c r="L444"/>
  <c r="M442"/>
  <c r="L442"/>
  <c r="M441"/>
  <c r="L441"/>
  <c r="M439"/>
  <c r="L439"/>
  <c r="M438"/>
  <c r="L438"/>
  <c r="M436"/>
  <c r="L436"/>
  <c r="M435"/>
  <c r="L435"/>
  <c r="M433"/>
  <c r="L433"/>
  <c r="M432"/>
  <c r="L432"/>
  <c r="M431"/>
  <c r="L431"/>
  <c r="M429"/>
  <c r="L429"/>
  <c r="M428"/>
  <c r="L428"/>
  <c r="M426"/>
  <c r="L426"/>
  <c r="M425"/>
  <c r="L425"/>
  <c r="M424"/>
  <c r="L424"/>
  <c r="M422"/>
  <c r="L422"/>
  <c r="M421"/>
  <c r="L421"/>
  <c r="M419"/>
  <c r="L419"/>
  <c r="M418"/>
  <c r="L418"/>
  <c r="M416"/>
  <c r="L416"/>
  <c r="M415"/>
  <c r="L415"/>
  <c r="M413"/>
  <c r="L413"/>
  <c r="M412"/>
  <c r="L412"/>
  <c r="M410"/>
  <c r="L410"/>
  <c r="M409"/>
  <c r="L409"/>
  <c r="M408"/>
  <c r="L408"/>
  <c r="M406"/>
  <c r="L406"/>
  <c r="M405"/>
  <c r="L405"/>
  <c r="M403"/>
  <c r="L403"/>
  <c r="M402"/>
  <c r="L402"/>
  <c r="M400"/>
  <c r="L400"/>
  <c r="M399"/>
  <c r="L399"/>
  <c r="M397"/>
  <c r="L397"/>
  <c r="M396"/>
  <c r="L396"/>
  <c r="M394"/>
  <c r="L394"/>
  <c r="M393"/>
  <c r="L393"/>
  <c r="M391"/>
  <c r="L391"/>
  <c r="M390"/>
  <c r="L390"/>
  <c r="M388"/>
  <c r="L388"/>
  <c r="M387"/>
  <c r="L387"/>
  <c r="M386"/>
  <c r="L386"/>
  <c r="M384"/>
  <c r="L384"/>
  <c r="M383"/>
  <c r="L383"/>
  <c r="M381"/>
  <c r="L381"/>
  <c r="M380"/>
  <c r="L380"/>
  <c r="M379"/>
  <c r="L379"/>
  <c r="M377"/>
  <c r="L377"/>
  <c r="M376"/>
  <c r="L376"/>
  <c r="M374"/>
  <c r="L374"/>
  <c r="M373"/>
  <c r="L373"/>
  <c r="M372"/>
  <c r="L372"/>
  <c r="M370"/>
  <c r="L370"/>
  <c r="M369"/>
  <c r="L369"/>
  <c r="M367"/>
  <c r="L367"/>
  <c r="M366"/>
  <c r="L366"/>
  <c r="M365"/>
  <c r="L365"/>
  <c r="M363"/>
  <c r="L363"/>
  <c r="M362"/>
  <c r="L362"/>
  <c r="M360"/>
  <c r="L360"/>
  <c r="M359"/>
  <c r="L359"/>
  <c r="M358"/>
  <c r="L358"/>
  <c r="M356"/>
  <c r="L356"/>
  <c r="M355"/>
  <c r="L355"/>
  <c r="M353"/>
  <c r="L353"/>
  <c r="M352"/>
  <c r="L352"/>
  <c r="M350"/>
  <c r="L350"/>
  <c r="M349"/>
  <c r="L349"/>
  <c r="M347"/>
  <c r="L347"/>
  <c r="M346"/>
  <c r="L346"/>
  <c r="M344"/>
  <c r="L344"/>
  <c r="M343"/>
  <c r="L343"/>
  <c r="M342"/>
  <c r="L342"/>
  <c r="M340"/>
  <c r="L340"/>
  <c r="M339"/>
  <c r="L339"/>
  <c r="M337"/>
  <c r="L337"/>
  <c r="M336"/>
  <c r="L336"/>
  <c r="M335"/>
  <c r="L335"/>
  <c r="M333"/>
  <c r="L333"/>
  <c r="M332"/>
  <c r="L332"/>
  <c r="M331"/>
  <c r="L331"/>
  <c r="M330"/>
  <c r="L330"/>
  <c r="M329"/>
  <c r="L329"/>
  <c r="M328"/>
  <c r="L328"/>
  <c r="M326"/>
  <c r="L326"/>
  <c r="M325"/>
  <c r="L325"/>
  <c r="M324"/>
  <c r="L324"/>
  <c r="M323"/>
  <c r="L323"/>
  <c r="M322"/>
  <c r="L322"/>
  <c r="M321"/>
  <c r="L321"/>
  <c r="M319"/>
  <c r="L319"/>
  <c r="M318"/>
  <c r="L318"/>
  <c r="M316"/>
  <c r="L316"/>
  <c r="M315"/>
  <c r="L315"/>
  <c r="M314"/>
  <c r="L314"/>
  <c r="M312"/>
  <c r="L312"/>
  <c r="M311"/>
  <c r="L311"/>
  <c r="M309"/>
  <c r="L309"/>
  <c r="M308"/>
  <c r="L308"/>
  <c r="M307"/>
  <c r="L307"/>
  <c r="M305"/>
  <c r="L305"/>
  <c r="M304"/>
  <c r="L304"/>
  <c r="M302"/>
  <c r="L302"/>
  <c r="M301"/>
  <c r="L301"/>
  <c r="M300"/>
  <c r="L300"/>
  <c r="M298"/>
  <c r="L298"/>
  <c r="M297"/>
  <c r="L297"/>
  <c r="M296"/>
  <c r="L296"/>
  <c r="M295"/>
  <c r="L295"/>
  <c r="M294"/>
  <c r="L294"/>
  <c r="M293"/>
  <c r="L293"/>
  <c r="M291"/>
  <c r="L291"/>
  <c r="M290"/>
  <c r="L290"/>
  <c r="M288"/>
  <c r="L288"/>
  <c r="M287"/>
  <c r="L287"/>
  <c r="M286"/>
  <c r="L286"/>
  <c r="M284"/>
  <c r="L284"/>
  <c r="M283"/>
  <c r="L283"/>
  <c r="M282"/>
  <c r="L282"/>
  <c r="M281"/>
  <c r="L281"/>
  <c r="M280"/>
  <c r="L280"/>
  <c r="M279"/>
  <c r="L279"/>
  <c r="M277"/>
  <c r="L277"/>
  <c r="M276"/>
  <c r="L276"/>
  <c r="M274"/>
  <c r="L274"/>
  <c r="M273"/>
  <c r="L273"/>
  <c r="M271"/>
  <c r="L271"/>
  <c r="M270"/>
  <c r="L270"/>
  <c r="M268"/>
  <c r="M267" s="1"/>
  <c r="L268"/>
  <c r="L267" s="1"/>
  <c r="M266"/>
  <c r="L266"/>
  <c r="M264"/>
  <c r="L264"/>
  <c r="M263"/>
  <c r="L263"/>
  <c r="M261"/>
  <c r="L261"/>
  <c r="M260"/>
  <c r="L260"/>
  <c r="M259"/>
  <c r="L259"/>
  <c r="M257"/>
  <c r="L257"/>
  <c r="M256"/>
  <c r="L256"/>
  <c r="M254"/>
  <c r="L254"/>
  <c r="M253"/>
  <c r="L253"/>
  <c r="M251"/>
  <c r="L251"/>
  <c r="M250"/>
  <c r="L250"/>
  <c r="M248"/>
  <c r="L248"/>
  <c r="M247"/>
  <c r="L247"/>
  <c r="M245"/>
  <c r="L245"/>
  <c r="M244"/>
  <c r="L244"/>
  <c r="M242"/>
  <c r="L242"/>
  <c r="M241"/>
  <c r="L241"/>
  <c r="M239"/>
  <c r="L239"/>
  <c r="M238"/>
  <c r="L238"/>
  <c r="M236"/>
  <c r="L236"/>
  <c r="M235"/>
  <c r="L235"/>
  <c r="M234"/>
  <c r="L234"/>
  <c r="M232"/>
  <c r="L232"/>
  <c r="M231"/>
  <c r="L231"/>
  <c r="M229"/>
  <c r="L229"/>
  <c r="M228"/>
  <c r="L228"/>
  <c r="M227"/>
  <c r="L227"/>
  <c r="M225"/>
  <c r="L225"/>
  <c r="M224"/>
  <c r="L224"/>
  <c r="M222"/>
  <c r="L222"/>
  <c r="M221"/>
  <c r="L221"/>
  <c r="M220"/>
  <c r="L220"/>
  <c r="M219"/>
  <c r="L219"/>
  <c r="M218"/>
  <c r="L218"/>
  <c r="M217"/>
  <c r="L217"/>
  <c r="M215"/>
  <c r="L215"/>
  <c r="M214"/>
  <c r="L214"/>
  <c r="M213"/>
  <c r="L213"/>
  <c r="M211"/>
  <c r="L211"/>
  <c r="M210"/>
  <c r="L210"/>
  <c r="M208"/>
  <c r="L208"/>
  <c r="M207"/>
  <c r="L207"/>
  <c r="M206"/>
  <c r="L206"/>
  <c r="M205"/>
  <c r="L205"/>
  <c r="M204"/>
  <c r="L204"/>
  <c r="M202"/>
  <c r="L202"/>
  <c r="M201"/>
  <c r="L201"/>
  <c r="M200"/>
  <c r="L200"/>
  <c r="M199"/>
  <c r="L199"/>
  <c r="M198"/>
  <c r="L198"/>
  <c r="M197"/>
  <c r="L197"/>
  <c r="M196"/>
  <c r="L196"/>
  <c r="M195"/>
  <c r="L195"/>
  <c r="M194"/>
  <c r="L194"/>
  <c r="M193"/>
  <c r="L193"/>
  <c r="M192"/>
  <c r="L192"/>
  <c r="M191"/>
  <c r="L191"/>
  <c r="L190"/>
  <c r="M189"/>
  <c r="L189"/>
  <c r="M188"/>
  <c r="M187" s="1"/>
  <c r="L188"/>
  <c r="L187" s="1"/>
  <c r="M185"/>
  <c r="L185"/>
  <c r="M184"/>
  <c r="L184"/>
  <c r="M182"/>
  <c r="L182"/>
  <c r="M181"/>
  <c r="L181"/>
  <c r="M179"/>
  <c r="L179"/>
  <c r="M178"/>
  <c r="M177" s="1"/>
  <c r="L178"/>
  <c r="L177" s="1"/>
  <c r="M175"/>
  <c r="L175"/>
  <c r="M174"/>
  <c r="M173" s="1"/>
  <c r="L174"/>
  <c r="L173" s="1"/>
  <c r="M172"/>
  <c r="L172"/>
  <c r="M171"/>
  <c r="L171"/>
  <c r="M170"/>
  <c r="L170"/>
  <c r="M169"/>
  <c r="L169"/>
  <c r="M168"/>
  <c r="L168"/>
  <c r="M167"/>
  <c r="L167"/>
  <c r="M166"/>
  <c r="L166"/>
  <c r="M165"/>
  <c r="L165"/>
  <c r="M164"/>
  <c r="L164"/>
  <c r="M163"/>
  <c r="L163"/>
  <c r="M162"/>
  <c r="L162"/>
  <c r="M160"/>
  <c r="L160"/>
  <c r="M159"/>
  <c r="L159"/>
  <c r="M158"/>
  <c r="L158"/>
  <c r="M157"/>
  <c r="L157"/>
  <c r="M156"/>
  <c r="L156"/>
  <c r="M155"/>
  <c r="L155"/>
  <c r="M154"/>
  <c r="L154"/>
  <c r="M153"/>
  <c r="L153"/>
  <c r="M152"/>
  <c r="L152"/>
  <c r="M151"/>
  <c r="L151"/>
  <c r="M150"/>
  <c r="L150"/>
  <c r="M149"/>
  <c r="L149"/>
  <c r="M147"/>
  <c r="L147"/>
  <c r="M146"/>
  <c r="L146"/>
  <c r="M145"/>
  <c r="L145"/>
  <c r="M144"/>
  <c r="L144"/>
  <c r="M143"/>
  <c r="L143"/>
  <c r="M142"/>
  <c r="L142"/>
  <c r="M141"/>
  <c r="L141"/>
  <c r="M140"/>
  <c r="L140"/>
  <c r="M139"/>
  <c r="L139"/>
  <c r="M138"/>
  <c r="L138"/>
  <c r="M137"/>
  <c r="L137"/>
  <c r="M136"/>
  <c r="L136"/>
  <c r="M134"/>
  <c r="L134"/>
  <c r="M133"/>
  <c r="L133"/>
  <c r="M132"/>
  <c r="L132"/>
  <c r="M131"/>
  <c r="L131"/>
  <c r="M129"/>
  <c r="L129"/>
  <c r="M127"/>
  <c r="L127"/>
  <c r="M126"/>
  <c r="L126"/>
  <c r="M125"/>
  <c r="L125"/>
  <c r="M124"/>
  <c r="L124"/>
  <c r="M123"/>
  <c r="L123"/>
  <c r="M122"/>
  <c r="L122"/>
  <c r="M121"/>
  <c r="L121"/>
  <c r="M120"/>
  <c r="L120"/>
  <c r="M119"/>
  <c r="L119"/>
  <c r="M118"/>
  <c r="L118"/>
  <c r="M117"/>
  <c r="L117"/>
  <c r="M116"/>
  <c r="L116"/>
  <c r="M115"/>
  <c r="L115"/>
  <c r="M114"/>
  <c r="L114"/>
  <c r="M113"/>
  <c r="L113"/>
  <c r="M111"/>
  <c r="L111"/>
  <c r="M110"/>
  <c r="L110"/>
  <c r="M109"/>
  <c r="L109"/>
  <c r="M108"/>
  <c r="L108"/>
  <c r="M107"/>
  <c r="L107"/>
  <c r="M106"/>
  <c r="L106"/>
  <c r="M105"/>
  <c r="L105"/>
  <c r="M103"/>
  <c r="L103"/>
  <c r="M102"/>
  <c r="L102"/>
  <c r="M100"/>
  <c r="L100"/>
  <c r="M99"/>
  <c r="L99"/>
  <c r="M97"/>
  <c r="L97"/>
  <c r="M96"/>
  <c r="L96"/>
  <c r="M95"/>
  <c r="L95"/>
  <c r="M94"/>
  <c r="L94"/>
  <c r="M93"/>
  <c r="L93"/>
  <c r="M91"/>
  <c r="L91"/>
  <c r="M90"/>
  <c r="L90"/>
  <c r="M89"/>
  <c r="L89"/>
  <c r="M88"/>
  <c r="L88"/>
  <c r="M87"/>
  <c r="L87"/>
  <c r="M86"/>
  <c r="L86"/>
  <c r="M85"/>
  <c r="L85"/>
  <c r="M84"/>
  <c r="L84"/>
  <c r="M83"/>
  <c r="L83"/>
  <c r="M82"/>
  <c r="L82"/>
  <c r="M81"/>
  <c r="L81"/>
  <c r="M80"/>
  <c r="L80"/>
  <c r="M79"/>
  <c r="L79"/>
  <c r="M78"/>
  <c r="L78"/>
  <c r="M77"/>
  <c r="L77"/>
  <c r="M76"/>
  <c r="L76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M64"/>
  <c r="L64"/>
  <c r="M63"/>
  <c r="L63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M45"/>
  <c r="L45"/>
  <c r="M44"/>
  <c r="L44"/>
  <c r="M43"/>
  <c r="L43"/>
  <c r="M42"/>
  <c r="L42"/>
  <c r="M41"/>
  <c r="L41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6"/>
  <c r="L26"/>
  <c r="M25"/>
  <c r="L25"/>
  <c r="M24"/>
  <c r="L24"/>
  <c r="M23"/>
  <c r="L23"/>
  <c r="M21"/>
  <c r="L21"/>
  <c r="M20"/>
  <c r="L20"/>
  <c r="M19"/>
  <c r="L19"/>
  <c r="M18"/>
  <c r="L18"/>
  <c r="M17"/>
  <c r="L17"/>
  <c r="M16"/>
  <c r="L16"/>
  <c r="M15"/>
  <c r="L15"/>
  <c r="M14"/>
  <c r="M597" s="1"/>
  <c r="F25" i="12" s="1"/>
  <c r="L14" i="17"/>
  <c r="L597" s="1"/>
  <c r="E25" i="12" s="1"/>
  <c r="K596" i="17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1"/>
  <c r="K560"/>
  <c r="K559"/>
  <c r="K558"/>
  <c r="K557"/>
  <c r="K556"/>
  <c r="K554"/>
  <c r="K553"/>
  <c r="K552"/>
  <c r="K551"/>
  <c r="K550"/>
  <c r="K549"/>
  <c r="K548"/>
  <c r="K547"/>
  <c r="K546"/>
  <c r="K544"/>
  <c r="K543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3"/>
  <c r="K462"/>
  <c r="K460"/>
  <c r="K459"/>
  <c r="K458"/>
  <c r="K456"/>
  <c r="K455"/>
  <c r="K453"/>
  <c r="K452"/>
  <c r="K451"/>
  <c r="K450"/>
  <c r="K448"/>
  <c r="K447"/>
  <c r="K445"/>
  <c r="K444"/>
  <c r="K442"/>
  <c r="K441"/>
  <c r="K439"/>
  <c r="K438"/>
  <c r="K436"/>
  <c r="K435"/>
  <c r="K433"/>
  <c r="K432"/>
  <c r="K431"/>
  <c r="K429"/>
  <c r="K428"/>
  <c r="K426"/>
  <c r="K425"/>
  <c r="K424"/>
  <c r="K422"/>
  <c r="K421"/>
  <c r="K419"/>
  <c r="K418"/>
  <c r="K416"/>
  <c r="K415"/>
  <c r="K413"/>
  <c r="K412"/>
  <c r="K410"/>
  <c r="K409"/>
  <c r="K408"/>
  <c r="K406"/>
  <c r="K405"/>
  <c r="K403"/>
  <c r="K402"/>
  <c r="K400"/>
  <c r="K399"/>
  <c r="K397"/>
  <c r="K396"/>
  <c r="K394"/>
  <c r="K393"/>
  <c r="K391"/>
  <c r="K390"/>
  <c r="K388"/>
  <c r="K387"/>
  <c r="K386"/>
  <c r="K384"/>
  <c r="K383"/>
  <c r="K381"/>
  <c r="K380"/>
  <c r="K379"/>
  <c r="K377"/>
  <c r="K376"/>
  <c r="K374"/>
  <c r="K373"/>
  <c r="K372"/>
  <c r="K370"/>
  <c r="K369"/>
  <c r="K367"/>
  <c r="K366"/>
  <c r="K365"/>
  <c r="K363"/>
  <c r="K362"/>
  <c r="K360"/>
  <c r="K359"/>
  <c r="K358"/>
  <c r="K356"/>
  <c r="K355"/>
  <c r="K353"/>
  <c r="K352"/>
  <c r="K351"/>
  <c r="K350"/>
  <c r="K349"/>
  <c r="K347"/>
  <c r="K346"/>
  <c r="K344"/>
  <c r="K343"/>
  <c r="K342"/>
  <c r="K340"/>
  <c r="K339"/>
  <c r="K337"/>
  <c r="K336"/>
  <c r="K335"/>
  <c r="K333"/>
  <c r="K332"/>
  <c r="K331"/>
  <c r="K330"/>
  <c r="K329"/>
  <c r="K328"/>
  <c r="K326"/>
  <c r="K325"/>
  <c r="K324"/>
  <c r="K323"/>
  <c r="K322"/>
  <c r="K321"/>
  <c r="K319"/>
  <c r="K318"/>
  <c r="K316"/>
  <c r="K315"/>
  <c r="K314"/>
  <c r="K312"/>
  <c r="K311"/>
  <c r="K310"/>
  <c r="K309"/>
  <c r="K308"/>
  <c r="K307"/>
  <c r="K305"/>
  <c r="K304"/>
  <c r="K303"/>
  <c r="K302"/>
  <c r="K301"/>
  <c r="K300"/>
  <c r="K298"/>
  <c r="K297"/>
  <c r="K296"/>
  <c r="K295"/>
  <c r="K294"/>
  <c r="K293"/>
  <c r="K291"/>
  <c r="K290"/>
  <c r="K288"/>
  <c r="K287"/>
  <c r="K286"/>
  <c r="K284"/>
  <c r="K283"/>
  <c r="K282"/>
  <c r="K281"/>
  <c r="K280"/>
  <c r="K279"/>
  <c r="K277"/>
  <c r="K276"/>
  <c r="K274"/>
  <c r="K273"/>
  <c r="K271"/>
  <c r="K270"/>
  <c r="K269"/>
  <c r="K268"/>
  <c r="K267"/>
  <c r="K266"/>
  <c r="K264"/>
  <c r="K263"/>
  <c r="K262"/>
  <c r="K261"/>
  <c r="K260"/>
  <c r="K259"/>
  <c r="K257"/>
  <c r="K256"/>
  <c r="K254"/>
  <c r="K253"/>
  <c r="K251"/>
  <c r="K250"/>
  <c r="K248"/>
  <c r="K247"/>
  <c r="K245"/>
  <c r="K244"/>
  <c r="K242"/>
  <c r="K241"/>
  <c r="K239"/>
  <c r="K238"/>
  <c r="K237"/>
  <c r="K236"/>
  <c r="K235"/>
  <c r="K234"/>
  <c r="K232"/>
  <c r="K231"/>
  <c r="K230"/>
  <c r="K229"/>
  <c r="K228"/>
  <c r="K227"/>
  <c r="K225"/>
  <c r="K224"/>
  <c r="K223"/>
  <c r="K222"/>
  <c r="K221"/>
  <c r="K220"/>
  <c r="K219"/>
  <c r="K218"/>
  <c r="K217"/>
  <c r="K216"/>
  <c r="K215"/>
  <c r="K214"/>
  <c r="K213"/>
  <c r="K211"/>
  <c r="K210"/>
  <c r="K209"/>
  <c r="K208"/>
  <c r="K207"/>
  <c r="K206"/>
  <c r="K205"/>
  <c r="K204"/>
  <c r="K202"/>
  <c r="K201"/>
  <c r="K200"/>
  <c r="K199"/>
  <c r="K198"/>
  <c r="K197"/>
  <c r="K196"/>
  <c r="K195"/>
  <c r="K194"/>
  <c r="K193"/>
  <c r="K192"/>
  <c r="K191"/>
  <c r="K190"/>
  <c r="K189"/>
  <c r="K188"/>
  <c r="K187" s="1"/>
  <c r="K185"/>
  <c r="K184"/>
  <c r="K182"/>
  <c r="K181"/>
  <c r="K180"/>
  <c r="K179"/>
  <c r="K178"/>
  <c r="K177" s="1"/>
  <c r="K176"/>
  <c r="K175"/>
  <c r="K174"/>
  <c r="K172"/>
  <c r="K171"/>
  <c r="K170"/>
  <c r="K169"/>
  <c r="K168"/>
  <c r="K167"/>
  <c r="K166"/>
  <c r="K165"/>
  <c r="K164"/>
  <c r="K163"/>
  <c r="K162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1"/>
  <c r="K110"/>
  <c r="K109"/>
  <c r="K108"/>
  <c r="K107"/>
  <c r="K106"/>
  <c r="K105"/>
  <c r="K103"/>
  <c r="K102"/>
  <c r="K101"/>
  <c r="K100"/>
  <c r="K99"/>
  <c r="K98"/>
  <c r="K97"/>
  <c r="K96"/>
  <c r="K95"/>
  <c r="K94"/>
  <c r="K93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1"/>
  <c r="K20"/>
  <c r="K19"/>
  <c r="K18"/>
  <c r="K17"/>
  <c r="K16"/>
  <c r="K15"/>
  <c r="K14"/>
  <c r="K597" s="1"/>
  <c r="D25" i="12" s="1"/>
  <c r="F46" l="1"/>
  <c r="E46"/>
  <c r="D46"/>
  <c r="F44" l="1"/>
  <c r="E44"/>
  <c r="D44"/>
  <c r="F37"/>
  <c r="E37"/>
  <c r="D37"/>
  <c r="F34"/>
  <c r="F32" s="1"/>
  <c r="E34"/>
  <c r="D34"/>
  <c r="D32" s="1"/>
  <c r="E32"/>
  <c r="F27"/>
  <c r="E27"/>
  <c r="D27"/>
  <c r="F24"/>
  <c r="E24"/>
  <c r="E19" s="1"/>
  <c r="E14" s="1"/>
  <c r="E31" s="1"/>
  <c r="F19"/>
  <c r="F14" s="1"/>
  <c r="F31" s="1"/>
  <c r="D19"/>
  <c r="D14" s="1"/>
  <c r="D31" s="1"/>
  <c r="E18"/>
  <c r="F18" s="1"/>
</calcChain>
</file>

<file path=xl/sharedStrings.xml><?xml version="1.0" encoding="utf-8"?>
<sst xmlns="http://schemas.openxmlformats.org/spreadsheetml/2006/main" count="4902" uniqueCount="468">
  <si>
    <t>(тыс. рублей)</t>
  </si>
  <si>
    <t>Наименование</t>
  </si>
  <si>
    <t>№ п/п</t>
  </si>
  <si>
    <t>Плановый период</t>
  </si>
  <si>
    <t>1.</t>
  </si>
  <si>
    <t xml:space="preserve">Доходы - всего: </t>
  </si>
  <si>
    <t>Налоговые и неналоговые доходы</t>
  </si>
  <si>
    <t>из них:</t>
  </si>
  <si>
    <t>Безвозмездные поступления</t>
  </si>
  <si>
    <t>2.</t>
  </si>
  <si>
    <t>Расходы - всего</t>
  </si>
  <si>
    <t>3.</t>
  </si>
  <si>
    <t>Профицит (+), дефицит (-)</t>
  </si>
  <si>
    <t>4.</t>
  </si>
  <si>
    <t>получение</t>
  </si>
  <si>
    <t>погашение</t>
  </si>
  <si>
    <t>Изменение остатков средств бюджета</t>
  </si>
  <si>
    <t>5.</t>
  </si>
  <si>
    <t xml:space="preserve">              </t>
  </si>
  <si>
    <t>в том числе:</t>
  </si>
  <si>
    <t>доходы от иной приносящей доход деятельности</t>
  </si>
  <si>
    <t>Источники внутреннего финансирования  дефицита бюджета</t>
  </si>
  <si>
    <t>возврат</t>
  </si>
  <si>
    <t>предоставление</t>
  </si>
  <si>
    <t>Кредиты кредитных организаций</t>
  </si>
  <si>
    <t>Бюджетные кредиты от других бюджетов бюджетной системы Российской Федерации</t>
  </si>
  <si>
    <t>Бюджетные кредиты бюджетам поселений</t>
  </si>
  <si>
    <t>Иные источники внутреннего финансирования дефицита бюджета</t>
  </si>
  <si>
    <t>Наименование поселений</t>
  </si>
  <si>
    <t>Краснозвездинское муниципальное образование</t>
  </si>
  <si>
    <t>Макаровское муниципальное образование</t>
  </si>
  <si>
    <t>Октябрьское муниципальное образование</t>
  </si>
  <si>
    <t>Салтыковское муниципальное образование</t>
  </si>
  <si>
    <t>Урусовское муниципальное образование</t>
  </si>
  <si>
    <t>Шило-Голицынское муниципальное образование</t>
  </si>
  <si>
    <t>ИТОГО</t>
  </si>
  <si>
    <t>в т.ч.полномочия</t>
  </si>
  <si>
    <t>Доходы всего</t>
  </si>
  <si>
    <t>Налоговые и неналоговые доходы поселений</t>
  </si>
  <si>
    <t>в т.ч.</t>
  </si>
  <si>
    <t>Расходы всего</t>
  </si>
  <si>
    <t>Из них на передачу полномочий РМР, всего</t>
  </si>
  <si>
    <t>в том числе полномочия в соотв. с соглашениями</t>
  </si>
  <si>
    <t>Доходы всего :</t>
  </si>
  <si>
    <t xml:space="preserve">из них </t>
  </si>
  <si>
    <t>Дотация на выравн.б/о из обл. фонда фин.поддержки поселений</t>
  </si>
  <si>
    <t>иные МБТ бюджетам поселений из бюджета РМР</t>
  </si>
  <si>
    <t xml:space="preserve"> по формир-ю, испол-ю и контролю за испол-м бюджетов</t>
  </si>
  <si>
    <t xml:space="preserve"> по организации водоснабжения</t>
  </si>
  <si>
    <t>по дорожной деятельности</t>
  </si>
  <si>
    <t>инвентаризация и землеустроительные работы</t>
  </si>
  <si>
    <t xml:space="preserve"> дотация за счет субв. из обл.бюдж.</t>
  </si>
  <si>
    <t xml:space="preserve"> по форм-ю, исп-ю и контролю за испол-м бюджетов</t>
  </si>
  <si>
    <t>Муниципальное образование г. Ртищево</t>
  </si>
  <si>
    <t>Субвенции по воинскому учету</t>
  </si>
  <si>
    <t>в т.ч:</t>
  </si>
  <si>
    <t>Приложение  №  1 к распоряжению</t>
  </si>
  <si>
    <t>Код</t>
  </si>
  <si>
    <t>3</t>
  </si>
  <si>
    <t>4</t>
  </si>
  <si>
    <t>5</t>
  </si>
  <si>
    <t>6</t>
  </si>
  <si>
    <t>Общегосударственные  вопросы</t>
  </si>
  <si>
    <t>01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</si>
  <si>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</si>
  <si>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</si>
  <si>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</si>
  <si>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</si>
  <si>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</si>
  <si>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Расходы на обеспечение функций центрального аппарата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</si>
  <si>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</si>
  <si>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</si>
  <si>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</si>
  <si>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</si>
  <si>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</si>
  <si>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</si>
  <si>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</si>
  <si>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</si>
  <si>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07</t>
  </si>
  <si>
    <t>11</t>
  </si>
  <si>
    <t>Другие общегосударственные вопросы</t>
  </si>
  <si>
    <t>13</t>
  </si>
  <si>
    <t>Прочие непрограммные расходы  органов исполнительной власти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</si>
  <si>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</si>
  <si>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</si>
  <si>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02</t>
  </si>
  <si>
    <t>03</t>
  </si>
  <si>
    <t>09</t>
  </si>
  <si>
    <t>Дорожное хозяйство</t>
  </si>
  <si>
    <t>Жилищно-коммунальное хозяйство</t>
  </si>
  <si>
    <t>05</t>
  </si>
  <si>
    <t>Благоустройство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</si>
  <si>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</si>
  <si>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</si>
  <si>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Образование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</si>
  <si>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</si>
  <si>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</si>
  <si>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</si>
  <si>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</si>
  <si>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</si>
  <si>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300</t>
  </si>
  <si>
    <t>310</t>
  </si>
  <si>
    <t>ВСЕГО РАСХОДОВ</t>
  </si>
  <si>
    <t>Межбюджетные трансферты, передаваемые бюджету муниципального района</t>
  </si>
  <si>
    <t>Дотация бюджетам поселений  на выравнивание бюджетной обеспеченности за счет субвенции муниципального района на исполнение государственных полномочий по расчету и предоставлению дотаций поселениям</t>
  </si>
  <si>
    <t>Дотация бюджетам поселений  на выравнивание бюджетной обеспеченности  из районного фонда финансовой поддержки поселений</t>
  </si>
  <si>
    <t>Иные межбюджетные трансферты бюджету муниципального района в соответствии с заключенным соглашением о передаче полномочий органам местного самоуправления Ртищевского муниципального района</t>
  </si>
  <si>
    <t xml:space="preserve">администрации Ртищевского </t>
  </si>
  <si>
    <t>муниципального района</t>
  </si>
  <si>
    <t>Совет  муниципального образования город Ртищево</t>
  </si>
  <si>
    <t>237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</si>
  <si>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</si>
  <si>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Отдел по управлению имуществом и земельным отношениям Администрации Ртищевского муниципального района</t>
  </si>
  <si>
    <t>054</t>
  </si>
  <si>
    <t>Оплата за газ для поддержания вечного огня</t>
  </si>
  <si>
    <t>Мероприятия в  области жилищно-коммунального хозяйства муниципального образования</t>
  </si>
  <si>
    <t>Администрация Ртищевского муниципального района</t>
  </si>
  <si>
    <t>056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</si>
  <si>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</si>
  <si>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</si>
  <si>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</si>
  <si>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</si>
  <si>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Подпрограмма "Ремонт автомобильных дорог и искусственных сооружений на них в границах городских и сельских поселений"</t>
  </si>
  <si>
    <t>Социальное обеспечение и иные выплаты населению</t>
  </si>
  <si>
    <t>Средства массовой информации</t>
  </si>
  <si>
    <t>12</t>
  </si>
  <si>
    <t xml:space="preserve">Периодическая печать и издательства
</t>
  </si>
  <si>
    <t>Расходы на выплаты персоналу казенных учреждений</t>
  </si>
  <si>
    <t>110</t>
  </si>
  <si>
    <t>Отдел по спорту и туризму Администрации Ртищевского муниципального района</t>
  </si>
  <si>
    <t>230</t>
  </si>
  <si>
    <t>Субсидии бюджетным учреждениям</t>
  </si>
  <si>
    <t>610</t>
  </si>
  <si>
    <t>Физическая культура и спорт</t>
  </si>
  <si>
    <t xml:space="preserve">Физическая культура </t>
  </si>
  <si>
    <t>Приложение  №  2 к распоряжению</t>
  </si>
  <si>
    <t>Предельный объем муниципального долга  на конец года</t>
  </si>
  <si>
    <t>Раздел</t>
  </si>
  <si>
    <t>Подраздел</t>
  </si>
  <si>
    <t>Целевая статья</t>
  </si>
  <si>
    <t>Вид расходов</t>
  </si>
  <si>
    <t>Расходы по исполнению отдельных обязательств</t>
  </si>
  <si>
    <t>99</t>
  </si>
  <si>
    <t>0</t>
  </si>
  <si>
    <t>00</t>
  </si>
  <si>
    <t>00000</t>
  </si>
  <si>
    <t>Иные внепрограммные мероприятия</t>
  </si>
  <si>
    <t>08100</t>
  </si>
  <si>
    <t>Закупка товаров, работ и услуг для обеспечения  государственных (муниципальных) нужд</t>
  </si>
  <si>
    <t>Жилищное хозяйство</t>
  </si>
  <si>
    <t>95</t>
  </si>
  <si>
    <t>Мероприятия в  области жилищного хозяйства муниципального образования</t>
  </si>
  <si>
    <t>1</t>
  </si>
  <si>
    <t>Капитальный ремонт муниципального жилищного фонда</t>
  </si>
  <si>
    <t>05110</t>
  </si>
  <si>
    <t xml:space="preserve">Обязательные платежи и (или) взносы собственников помещений многоквартирных домов за капитальный ремонт, согласно ЖК РФ ст. 158 ч. 1 </t>
  </si>
  <si>
    <t>05150</t>
  </si>
  <si>
    <t>Коммунальное хозяйство</t>
  </si>
  <si>
    <t>2</t>
  </si>
  <si>
    <t>05210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</si>
  <si>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</si>
  <si>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</si>
  <si>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Резервные фонды</t>
  </si>
  <si>
    <t>Резервные средства</t>
  </si>
  <si>
    <t>9</t>
  </si>
  <si>
    <t>Средства резервных фондов местных администраций</t>
  </si>
  <si>
    <t>99900</t>
  </si>
  <si>
    <t>870</t>
  </si>
  <si>
    <t>79</t>
  </si>
  <si>
    <t>Основное мероприятие "Повышение антитеррористической защищенности объектов социальной сферы"</t>
  </si>
  <si>
    <t>Основное мероприятие "Обеспечение общественного порядка и безопасности граждан, профилактика правонарушений против личности"</t>
  </si>
  <si>
    <t>Основное мероприятие "Информационное обеспечение антинаркотических мероприятий"</t>
  </si>
  <si>
    <t>75</t>
  </si>
  <si>
    <t>G0800</t>
  </si>
  <si>
    <t>06</t>
  </si>
  <si>
    <t>Расходы по социальному обеспечению и иным выплатам населению муниципального образования</t>
  </si>
  <si>
    <t>96</t>
  </si>
  <si>
    <t>07100</t>
  </si>
  <si>
    <t>Выполнение функций органами местного самоуправления</t>
  </si>
  <si>
    <t>91</t>
  </si>
  <si>
    <t xml:space="preserve">Информационное обеспечение деятельности органов местного самоуправления </t>
  </si>
  <si>
    <t>08400</t>
  </si>
  <si>
    <t>Обеспечение деятельности учреждений (оказание муниципальных, услуг, выполнение работ)</t>
  </si>
  <si>
    <t>93</t>
  </si>
  <si>
    <t>Централизованные бухгалтерии, группы хозяйственного обслуживания учреждений и органов местного самоуправления муниципальных образований</t>
  </si>
  <si>
    <t>Расходы на обеспечение деятельности  муниципальных казенных учреждений</t>
  </si>
  <si>
    <t>04200</t>
  </si>
  <si>
    <t>Финансовое обеспечение муниципального задания на оказание муниципальных услуг (выполнение работ)</t>
  </si>
  <si>
    <t>04110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</si>
  <si>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</si>
  <si>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</si>
  <si>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Функционирование представительных органов муниципальных образований</t>
  </si>
  <si>
    <t xml:space="preserve">Расходы на обеспечение деятельности депутатов представительного органа муниципального образования </t>
  </si>
  <si>
    <t>01100</t>
  </si>
  <si>
    <t>02200</t>
  </si>
  <si>
    <t>Уплата  налога на имущество и транспортного налога органами местного самоуправления</t>
  </si>
  <si>
    <t>06100</t>
  </si>
  <si>
    <t>Муниципальное образование           г. Ртищево</t>
  </si>
  <si>
    <t>2019 год</t>
  </si>
  <si>
    <t>Закупка товаров, работ и услуг для обеспечения государственных (муниципальных) нужд</t>
  </si>
  <si>
    <t>Расходы на оплату членских взносов в ассоциации</t>
  </si>
  <si>
    <t>08200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</si>
  <si>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 на 2017-2020 годы"</t>
  </si>
  <si>
    <t>00460</t>
  </si>
  <si>
    <t>Муниципальная программа "Обеспечение населения доступным жильем и развитие жилищно-коммунальной инфраструктуры на 2014-2020 годы"</t>
  </si>
  <si>
    <t>72</t>
  </si>
  <si>
    <t>Подпрограмма "Модернизация  объектов коммунальной инфраструктуры"</t>
  </si>
  <si>
    <t>Основное мероприятие "Модернизация объектов водоснабжения и водоотведения"</t>
  </si>
  <si>
    <t>Реконструкция очистных сооружений приема сточных вод на территории  г.Ртищево</t>
  </si>
  <si>
    <t>00К10</t>
  </si>
  <si>
    <t xml:space="preserve">Бюджетные инвестиции </t>
  </si>
  <si>
    <t>Капитальный  ремонт водозаборной скважины в Северо-Восточной части г.Ртищево</t>
  </si>
  <si>
    <t>00К20</t>
  </si>
  <si>
    <t xml:space="preserve">Приобретение и установка камер уличного видеонаблюдения </t>
  </si>
  <si>
    <t>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</si>
  <si>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</si>
  <si>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 на 2017 – 2020 годы"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</si>
  <si>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</si>
  <si>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00Б20</t>
  </si>
  <si>
    <t>Создание и распространение антинаркотических буклетов, листовок и проспектов</t>
  </si>
  <si>
    <t>00Б30</t>
  </si>
  <si>
    <t>Муниципальная программа  "Развитие транспортной системы                                                                           в Ртищевском муниципальном районе на 2017-2020 годы"</t>
  </si>
  <si>
    <t>Основное мероприятие "Ремонт асфальтового покрытия улиц и дворовых территорий г. Ртищево"</t>
  </si>
  <si>
    <t xml:space="preserve">Дополнительное образование детей
</t>
  </si>
  <si>
    <t>Муниципальная  программа "Развитие физической культуры и спорта в Ртищевском муниципальном районе на 2017-2019 годы"</t>
  </si>
  <si>
    <t>76</t>
  </si>
  <si>
    <t>Подпрограмма "Физическое воспитание и оздоровление учащейся и студенческой молодежи Ртищевского муниципального района на 2017-2019 годы"</t>
  </si>
  <si>
    <t xml:space="preserve">Основное мероприятие "Мероприятия  по проведению занятий физкультурно-спортивной направленности 
по месту проживания граждан
</t>
  </si>
  <si>
    <t>Финансовое обеспечение на иные цели муниципальных бюджетных и автономных учреждений</t>
  </si>
  <si>
    <t>04130</t>
  </si>
  <si>
    <t>Основное мероприятие "Организация участия в официальных спортивных мероприятиях"</t>
  </si>
  <si>
    <t>Основное мероприятие "Организация и проведение официальных спортивно-оздоровительных мероприятий"</t>
  </si>
  <si>
    <t>Основное мероприятие "Организация и проведение спортивно-оздоровительного этапа"</t>
  </si>
  <si>
    <t>Подпрограмма " Развитие материально-технической базы спорта и спортсооружений на 2017-2019 годы "</t>
  </si>
  <si>
    <t>Основное мероприятие "Приобретение спортивного инвентаря и оборудования для МБУ ДО ДЮСШ г.Ртищево"</t>
  </si>
  <si>
    <t>Подпрограмма "Организация и проведение официальных  физкультурных, физкультурно-оздоровительных и спортивных мероприятий на 2017-2019 годы"</t>
  </si>
  <si>
    <t>Основное мероприятие "Обеспечение  доступа к спортивным объектам для свободного пользования"</t>
  </si>
  <si>
    <t>Основное мероприятие "Организация и проведение соревнований и спортивно-массовых мероприятий районного и областного значения"</t>
  </si>
  <si>
    <t>Основное мероприятие "Обязательное обучение плаванию учащихся третьих классов общеобразовательных учреждений города и района на 2017-2019 годы"</t>
  </si>
  <si>
    <t>Основное мероприятие "Проведение ремонта объектов физической культуры и спорта. Проведение комплекса мероприятий по ремонту помещений и оборудования объектов физкультуры и спорта "</t>
  </si>
  <si>
    <t>Основное мероприятие "Приобретение спортивного инвентаря, оборудования, иного имущества и предметов материально-технического обеспечения деятельности"</t>
  </si>
  <si>
    <t>тыс. рублей</t>
  </si>
  <si>
    <t>Выполнение других обязательств муниципального образования</t>
  </si>
  <si>
    <t>08600</t>
  </si>
  <si>
    <t>Мероприятия в сфере управления имуществом муниципального образования</t>
  </si>
  <si>
    <t>94</t>
  </si>
  <si>
    <t>Иные мероприятия в области управления муниципальным имуществом</t>
  </si>
  <si>
    <t>06800</t>
  </si>
  <si>
    <t>Расходы на судебные издержки и исполнение судебных решений</t>
  </si>
  <si>
    <t>Расходы по исполнительным листам</t>
  </si>
  <si>
    <t>08510</t>
  </si>
  <si>
    <t>Исполнение судебных актов</t>
  </si>
  <si>
    <t>830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</si>
  <si>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</si>
  <si>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</si>
  <si>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20</t>
  </si>
  <si>
    <t>Реализация основного мероприятия</t>
  </si>
  <si>
    <t>V0000</t>
  </si>
  <si>
    <t>Муниципальная программа  "Повышение энергоэффективности и энергосбережения в Ртищевском муниципальном районе на  2017-2020 годы"</t>
  </si>
  <si>
    <t>Подпрограмма " Энергосбережение и повышение энергоэффективности систем коммунальной инфраструктуры"</t>
  </si>
  <si>
    <t>74</t>
  </si>
  <si>
    <t>Основное мероприятие"Перевод на индивидуальное отопление квартир в МКД, расположенного по адресу: г.Ртищево,  ул.Мира, д.5Б"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</si>
  <si>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</si>
  <si>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00Р80</t>
  </si>
  <si>
    <t>Капитальный реонт водонапорной башни, расположенной по адресу: Саратовская область, г. Ртищево, ул. Красноармейская</t>
  </si>
  <si>
    <t>00Р90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</si>
  <si>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</si>
  <si>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00С10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</si>
  <si>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</si>
  <si>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00С20</t>
  </si>
  <si>
    <t>Модернизация канализационных очистных сооружений г. Ртищево Саратовской области</t>
  </si>
  <si>
    <t>00С40</t>
  </si>
  <si>
    <t>Обеспечение проведения выборов и референдумов</t>
  </si>
  <si>
    <t>Специальные расходы</t>
  </si>
  <si>
    <t>880</t>
  </si>
  <si>
    <t xml:space="preserve"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
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</si>
  <si>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 на 2017 - 2020 годы"</t>
  </si>
  <si>
    <t>Основное мероприятие "Содержание автомобильных дорог общего пользования местного значения"</t>
  </si>
  <si>
    <t xml:space="preserve">Муниципальная программа  "Благоустройство
территории города Ртищево на 2018 - 2020 годы"
</t>
  </si>
  <si>
    <t>83</t>
  </si>
  <si>
    <t>Основное мероприятие "Приобретение и посадка цветочной рассады "</t>
  </si>
  <si>
    <t>Основное мероприятие "Формовочная обрезка деревьев"</t>
  </si>
  <si>
    <t>Основное мероприятие "Удаление, спил сухостойных и аварийных  деревьев"</t>
  </si>
  <si>
    <t>Основное мероприятие "Ликвидация несанкционированных свалок"</t>
  </si>
  <si>
    <t>08</t>
  </si>
  <si>
    <t>Основное мероприятие "Установка стелы «Я люблю город Ртищево»"</t>
  </si>
  <si>
    <t>Основное мероприятие "Изготовление баннеров (растяжек) "</t>
  </si>
  <si>
    <t>Основное мероприятие "Поставка электроэнергии для работы уличного освещения"</t>
  </si>
  <si>
    <t>Основное мероприятие "Выполнение работ по обслуживанию уличного освещения"</t>
  </si>
  <si>
    <t>Основное мероприятие "Расчеты с ГАУ Агентство по повышению энергоэффективности Саратовской области"</t>
  </si>
  <si>
    <t>Основное мероприятие "Уменьшение численности безнадзорных животных"</t>
  </si>
  <si>
    <t>Основное мероприятие "Уборка территорий в зонах отдыха"</t>
  </si>
  <si>
    <t>15</t>
  </si>
  <si>
    <t>Основное мероприятие "Окашивание территории населенных пунктов (окос пустырей)"</t>
  </si>
  <si>
    <t>16</t>
  </si>
  <si>
    <t>Основное мероприятие "Прочие мероприятия по уличному освещению"</t>
  </si>
  <si>
    <t>17</t>
  </si>
  <si>
    <t>2020 год</t>
  </si>
  <si>
    <t>Основное мероприятие "Улучшение эстетического и архитектурного вида городского парка культуры и отдыха"</t>
  </si>
  <si>
    <t>Основное мероприятие "Подготовка документации по планировке территорий"</t>
  </si>
  <si>
    <t>Другие вопросы в области национальной экономики</t>
  </si>
  <si>
    <t>Мероприятия по землеустройству и землепользованию</t>
  </si>
  <si>
    <t>06700</t>
  </si>
  <si>
    <t>Капитальный ремонт разводящей водопроводной сети, расположенной по адресу: Саратовская область, г. Ртищево</t>
  </si>
  <si>
    <t>00Т10</t>
  </si>
  <si>
    <t>Строительство объекта: "Канализационно - очистные сооружения в г. Ртищево Саратовской области"</t>
  </si>
  <si>
    <t>00Т20</t>
  </si>
  <si>
    <t>Капитальный ремонт водозаборной скважины, расположенной по адресу: Саратовская область, г.Ртищево, ул.Степная</t>
  </si>
  <si>
    <t>00Т40</t>
  </si>
  <si>
    <t>Проведение выборов в представительные органы муниципального образования</t>
  </si>
  <si>
    <t>08700</t>
  </si>
  <si>
    <t>Расходы на выплаты персоналу в целях обеспечения выполнения функций государственными (му-ниципальными) органами, казенными учреждениями, органами управления государственными внебюджетными фондами</t>
  </si>
  <si>
    <t>Расходы на исполнение административных правонарушений</t>
  </si>
  <si>
    <t>08530</t>
  </si>
  <si>
    <t>Транспорт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</si>
  <si>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</si>
  <si>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</si>
  <si>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</si>
  <si>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0Т020</t>
  </si>
  <si>
    <t>Субсидии юридическим лицам (кроме некоммерческих организаций), индивидуаль-ным предпринимателям, физическим лицам –производителям товаров, работ, услуг</t>
  </si>
  <si>
    <t>G0880</t>
  </si>
  <si>
    <t>G0Д10</t>
  </si>
  <si>
    <t>G0Д20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</si>
  <si>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</si>
  <si>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Основное мероприятие "Изготовление сметной документации, технический контроль"</t>
  </si>
  <si>
    <t>G0Д30</t>
  </si>
  <si>
    <t>Основное мероприятие "Приобретение и установка остановочных павильонов"</t>
  </si>
  <si>
    <t>19</t>
  </si>
  <si>
    <t>Приобретение и установка остановочных павильонов</t>
  </si>
  <si>
    <t>0Б230</t>
  </si>
  <si>
    <t xml:space="preserve">Муниципальная программа  "Благоустройство территории города Ртищево на 2018-2020 годы"
</t>
  </si>
  <si>
    <t xml:space="preserve">Приобретение, посадка цветочной рассады </t>
  </si>
  <si>
    <t>0Б010</t>
  </si>
  <si>
    <t>Формовочная обрезка деревьев</t>
  </si>
  <si>
    <t>0Б020</t>
  </si>
  <si>
    <t>Удаление, спил сухостойных и аварийных  деревьев</t>
  </si>
  <si>
    <t>0Б030</t>
  </si>
  <si>
    <t>Ликвидация несанкционированных свалок</t>
  </si>
  <si>
    <t>Основное мероприятие "Уборка и содержание территории кладбищ муниципального образования"</t>
  </si>
  <si>
    <t>Прочие мероприятия по благоустройству кладбищ</t>
  </si>
  <si>
    <t>0Б040</t>
  </si>
  <si>
    <t>Уборка и содержание территорий  кладбищ</t>
  </si>
  <si>
    <t>0Б050</t>
  </si>
  <si>
    <t>Ограждение территории кладбищ</t>
  </si>
  <si>
    <t>0Б320</t>
  </si>
  <si>
    <t>Ограждение территории кладбищ полосой зеленых насаждений</t>
  </si>
  <si>
    <t>0Б330</t>
  </si>
  <si>
    <t xml:space="preserve">Установка мусорных контейнеров на территории кладбищ </t>
  </si>
  <si>
    <t>0Б340</t>
  </si>
  <si>
    <t>Оборудование контейнерной площадки для мусора на территории кладбищ</t>
  </si>
  <si>
    <t>0Б350</t>
  </si>
  <si>
    <t>Дератизация территории кладбищ</t>
  </si>
  <si>
    <t>0Б360</t>
  </si>
  <si>
    <t>Приобретение специализированной техники</t>
  </si>
  <si>
    <t>0Б060</t>
  </si>
  <si>
    <t>Основное мероприятие "Уборка и содержание территорий населенных пунктов муниципального образования"</t>
  </si>
  <si>
    <t>Уборка, содержание территории муниципального образования</t>
  </si>
  <si>
    <t>0Б070</t>
  </si>
  <si>
    <t>Уборка, содержание спортивных площадок на территории муниципального образования</t>
  </si>
  <si>
    <t>0Б380</t>
  </si>
  <si>
    <t>Уборка, содержание детских площадок на территории муниципального образования</t>
  </si>
  <si>
    <t>0Б390</t>
  </si>
  <si>
    <t>0Б090</t>
  </si>
  <si>
    <t>Установка стелы «Я люблю город Ртищево»</t>
  </si>
  <si>
    <t>0Б110</t>
  </si>
  <si>
    <t xml:space="preserve">Изготовление баннеров (растяжек) </t>
  </si>
  <si>
    <t>0Б120</t>
  </si>
  <si>
    <t>Поставка электроэнергии для работы уличного освещения</t>
  </si>
  <si>
    <t>0Б130</t>
  </si>
  <si>
    <t>Выполнение работ по обслуживанию уличного освещения муниципального образования (город)</t>
  </si>
  <si>
    <t>0Б140</t>
  </si>
  <si>
    <t>Расчеты с ГАУ Агентство по повышению энергоэффективности Саратовской области</t>
  </si>
  <si>
    <t>0Б150</t>
  </si>
  <si>
    <t>Уменьшение численности безнадзорных животных</t>
  </si>
  <si>
    <t>0Б160</t>
  </si>
  <si>
    <t>Уборка территорий в зонах отдыха</t>
  </si>
  <si>
    <t>0Б170</t>
  </si>
  <si>
    <t>Окашивание территории населенных пунктов (окос пустырей)</t>
  </si>
  <si>
    <t>0Б180</t>
  </si>
  <si>
    <t>Прочие мероприятия по уличному освещению</t>
  </si>
  <si>
    <t>0Б190</t>
  </si>
  <si>
    <t>Приобретение энергосберегающих, светодиодных ламп</t>
  </si>
  <si>
    <t>0Б210</t>
  </si>
  <si>
    <t>Приобретение светильников и (или) опор уличного освещения</t>
  </si>
  <si>
    <t>0Б290</t>
  </si>
  <si>
    <t>Ремонт, содержание и обслуживание наружных сетей уличного освещения территории поселения</t>
  </si>
  <si>
    <t>0Б310</t>
  </si>
  <si>
    <t>Основное мероприятие "Приобретение детских качелей для установки на территории города Ртищево"</t>
  </si>
  <si>
    <t>18</t>
  </si>
  <si>
    <t>Приобретение детских качелей для установки на территории города Ртищево</t>
  </si>
  <si>
    <t>0Б220</t>
  </si>
  <si>
    <t>Основное мероприятие "Приобретение  и установка изгороди на ул.Громова"</t>
  </si>
  <si>
    <t>Приобретение, установка изгороди на ул.Громова</t>
  </si>
  <si>
    <t>0Б240</t>
  </si>
  <si>
    <t>Основное мероприятие "Ремонт и содержание стелл, мемориалов,  обелисков и памятников и благоустройство прилегающей к ним территории"</t>
  </si>
  <si>
    <t>21</t>
  </si>
  <si>
    <t>Ремонт и содержание стелл, мемориалов,  обелисков и памятников и благоустройство прилегающей к ним территории</t>
  </si>
  <si>
    <t>0Б250</t>
  </si>
  <si>
    <t>Основное мероприятие "Обустройство детских площадок"</t>
  </si>
  <si>
    <t>22</t>
  </si>
  <si>
    <t>Обустройство детских площадок</t>
  </si>
  <si>
    <t>0Б260</t>
  </si>
  <si>
    <t>Установка детской площадки (п. Выдвиженец)</t>
  </si>
  <si>
    <t>0Б370</t>
  </si>
  <si>
    <t>Приобретение, установка качелей на  детских площадках</t>
  </si>
  <si>
    <t>0Б460</t>
  </si>
  <si>
    <t>Приобретение, установка малых архитектурных форм для детских площадок</t>
  </si>
  <si>
    <t>0Б470</t>
  </si>
  <si>
    <t>Прочие мероприятия по благоустройству детских площадок</t>
  </si>
  <si>
    <t>0Б480</t>
  </si>
  <si>
    <t xml:space="preserve">Приобретение, установка детского уличного игрового оборудования </t>
  </si>
  <si>
    <t>0Б530</t>
  </si>
  <si>
    <t>Основное мероприятие "Обустройство спортивных площадок"</t>
  </si>
  <si>
    <t>23</t>
  </si>
  <si>
    <t>Обустройство спортивных площадок</t>
  </si>
  <si>
    <t>0Б270</t>
  </si>
  <si>
    <t xml:space="preserve">Приобретение и установка спортивного оборудования </t>
  </si>
  <si>
    <t>0Б430</t>
  </si>
  <si>
    <t>Приобретение, установка малых архитектурных форм для спортивных площадок</t>
  </si>
  <si>
    <t>0Б440</t>
  </si>
  <si>
    <t>Прочие мероприятия по благоустройству спортивных площадок</t>
  </si>
  <si>
    <t>0Б450</t>
  </si>
  <si>
    <t>Основное мероприятие "Проведение конкурсов по благоустройству"</t>
  </si>
  <si>
    <t>24</t>
  </si>
  <si>
    <t>Проведение конкурсов по благоустройству</t>
  </si>
  <si>
    <t>0Б280</t>
  </si>
  <si>
    <t>Основное мероприятие "Прочие мероприятия по благоустройству"</t>
  </si>
  <si>
    <t>25</t>
  </si>
  <si>
    <t xml:space="preserve">Приобретение, установка малых архитектурных форм (скамейки, урны и т.д.) </t>
  </si>
  <si>
    <t>0Б490</t>
  </si>
  <si>
    <t xml:space="preserve">Прочие мероприятия по благоустройству </t>
  </si>
  <si>
    <t>0Б510</t>
  </si>
  <si>
    <t>Приобретение, установка канализационных люков</t>
  </si>
  <si>
    <t>0Б520</t>
  </si>
  <si>
    <t>Установка мусорных контейнеров на территории муниципального образования</t>
  </si>
  <si>
    <t>0Б410</t>
  </si>
  <si>
    <t>Оборудование контейнерных площадок для мусора на территории муниципального образования</t>
  </si>
  <si>
    <t>0Б420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</si>
  <si>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</si>
  <si>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84</t>
  </si>
  <si>
    <t>Основное мероприятие "Благоустройство дворовых территорий многоквартирных домов г. Ртищево"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</si>
  <si>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</si>
  <si>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L5550</t>
  </si>
  <si>
    <t>Основное мероприятие "Благоустройство общественных территорий г. Ртищево"</t>
  </si>
  <si>
    <t>Социальное обеспечение населения</t>
  </si>
  <si>
    <t>Меры социальной поддержки граждан</t>
  </si>
  <si>
    <t>Меры социальной поддержки почетных граждан</t>
  </si>
  <si>
    <t>07П10</t>
  </si>
  <si>
    <t>Субсидии автономным учреждениям</t>
  </si>
  <si>
    <t>620</t>
  </si>
  <si>
    <t xml:space="preserve">Обеспечение повышения  оплаты  труда  некоторых  категорий работников муниципальных учреждений </t>
  </si>
  <si>
    <t>Обеспечение повышения  оплаты  труда  некоторых  категорий работников муниципальных учреждений за счет средств местного бюджета</t>
  </si>
  <si>
    <t>S2300</t>
  </si>
  <si>
    <t>2021 год</t>
  </si>
  <si>
    <t>Ведомственная структура расходов бюджета муниципального образования город Ртищево на 2019 год и  плановый период 2020 - 2021 годов</t>
  </si>
  <si>
    <t>Основные параметры бюджета муниципального образования город Ртищево  на 2019 - 2021 годы</t>
  </si>
  <si>
    <t>Субсидии бюджетам городских поселений на обеспечение повышения оплаты труда некоторых категорий работников муниципальных учреждений</t>
  </si>
  <si>
    <t>Проекты бюджетов поселений 2019- 2021 годы</t>
  </si>
  <si>
    <t>Субсидии областного бюджета (на обеспечение МРОТ) /дотации на выравнив. б/о  из районного фонда фин. поддержки</t>
  </si>
  <si>
    <t xml:space="preserve">Ремонт асфальтобетонного покрытия улиц и внутриквартальных проездов к дворовым территориям г. Ртищево за счет средств муниципального дорожного фонда </t>
  </si>
  <si>
    <t xml:space="preserve">Летнее содержание за счет средств муниципального дорожного фонда </t>
  </si>
  <si>
    <t xml:space="preserve">Изготовление сметной документации, технический контроль за счет средств муниципального дорожного фонда </t>
  </si>
  <si>
    <t xml:space="preserve">Зимнее содержание за счет средств муниципального дорожного фонда </t>
  </si>
  <si>
    <t>Верно: начальник отдела делопроизводства</t>
  </si>
  <si>
    <t>администрации муниципального района</t>
  </si>
  <si>
    <t>Ю.А. Малюгина</t>
  </si>
  <si>
    <t>от 2 ноября 2018 года  № 888-р</t>
  </si>
  <si>
    <t xml:space="preserve">Ю.А. Малюгина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</si>
</sst>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#,##0.0_ ;\-#,##0.0\ "/>
  </numFmts>
  <fonts count="3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indexed="9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9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44">
    <xf numFmtId="0" fontId="0" fillId="0" borderId="0" xfId="0"/>
    <xf numFmtId="0" fontId="1" fillId="0" borderId="0" xfId="0" applyFont="1" applyFill="1" applyAlignment="1">
      <alignment horizontal="center" wrapText="1"/>
    </xf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7" borderId="14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wrapText="1"/>
    </xf>
    <xf numFmtId="0" fontId="1" fillId="7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164" fontId="7" fillId="2" borderId="1" xfId="0" applyNumberFormat="1" applyFont="1" applyFill="1" applyBorder="1" applyAlignment="1">
      <alignment horizontal="left" wrapText="1"/>
    </xf>
    <xf numFmtId="164" fontId="8" fillId="0" borderId="1" xfId="0" applyNumberFormat="1" applyFont="1" applyFill="1" applyBorder="1" applyAlignment="1">
      <alignment horizontal="left" wrapText="1"/>
    </xf>
    <xf numFmtId="164" fontId="8" fillId="4" borderId="1" xfId="0" applyNumberFormat="1" applyFont="1" applyFill="1" applyBorder="1" applyAlignment="1">
      <alignment horizontal="left" wrapText="1"/>
    </xf>
    <xf numFmtId="164" fontId="6" fillId="2" borderId="1" xfId="0" applyNumberFormat="1" applyFont="1" applyFill="1" applyBorder="1" applyAlignment="1">
      <alignment wrapText="1"/>
    </xf>
    <xf numFmtId="164" fontId="6" fillId="7" borderId="1" xfId="0" applyNumberFormat="1" applyFont="1" applyFill="1" applyBorder="1" applyAlignment="1">
      <alignment wrapText="1"/>
    </xf>
    <xf numFmtId="164" fontId="6" fillId="6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164" fontId="6" fillId="4" borderId="1" xfId="0" applyNumberFormat="1" applyFont="1" applyFill="1" applyBorder="1" applyAlignment="1">
      <alignment wrapText="1"/>
    </xf>
    <xf numFmtId="0" fontId="1" fillId="0" borderId="0" xfId="0" applyFont="1" applyFill="1" applyAlignment="1"/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4" fillId="0" borderId="0" xfId="0" applyFont="1"/>
    <xf numFmtId="0" fontId="11" fillId="0" borderId="0" xfId="0" applyFont="1"/>
    <xf numFmtId="10" fontId="12" fillId="0" borderId="0" xfId="0" applyNumberFormat="1" applyFont="1" applyFill="1" applyAlignment="1"/>
    <xf numFmtId="9" fontId="12" fillId="0" borderId="0" xfId="0" applyNumberFormat="1" applyFont="1" applyFill="1"/>
    <xf numFmtId="0" fontId="10" fillId="0" borderId="0" xfId="0" applyFont="1" applyFill="1"/>
    <xf numFmtId="0" fontId="10" fillId="0" borderId="0" xfId="0" applyFont="1" applyFill="1" applyAlignment="1">
      <alignment wrapText="1"/>
    </xf>
    <xf numFmtId="10" fontId="15" fillId="0" borderId="0" xfId="0" applyNumberFormat="1" applyFont="1" applyFill="1" applyAlignment="1"/>
    <xf numFmtId="9" fontId="15" fillId="0" borderId="0" xfId="0" applyNumberFormat="1" applyFont="1" applyFill="1"/>
    <xf numFmtId="0" fontId="11" fillId="0" borderId="0" xfId="0" applyFont="1" applyFill="1"/>
    <xf numFmtId="10" fontId="17" fillId="0" borderId="0" xfId="0" applyNumberFormat="1" applyFont="1" applyFill="1" applyAlignment="1"/>
    <xf numFmtId="9" fontId="17" fillId="0" borderId="0" xfId="0" applyNumberFormat="1" applyFont="1" applyFill="1"/>
    <xf numFmtId="0" fontId="16" fillId="0" borderId="0" xfId="0" applyFont="1" applyFill="1"/>
    <xf numFmtId="10" fontId="15" fillId="0" borderId="0" xfId="0" applyNumberFormat="1" applyFont="1" applyFill="1"/>
    <xf numFmtId="10" fontId="12" fillId="0" borderId="0" xfId="0" applyNumberFormat="1" applyFont="1" applyFill="1"/>
    <xf numFmtId="0" fontId="10" fillId="0" borderId="0" xfId="0" applyFont="1" applyFill="1" applyAlignment="1">
      <alignment horizontal="center"/>
    </xf>
    <xf numFmtId="0" fontId="12" fillId="0" borderId="0" xfId="0" applyFont="1" applyFill="1"/>
    <xf numFmtId="0" fontId="10" fillId="0" borderId="0" xfId="0" applyFont="1" applyAlignment="1">
      <alignment horizontal="center"/>
    </xf>
    <xf numFmtId="0" fontId="12" fillId="0" borderId="0" xfId="0" applyFont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164" fontId="11" fillId="0" borderId="1" xfId="1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164" fontId="10" fillId="0" borderId="1" xfId="1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wrapText="1"/>
    </xf>
    <xf numFmtId="164" fontId="16" fillId="0" borderId="1" xfId="1" applyNumberFormat="1" applyFont="1" applyFill="1" applyBorder="1" applyAlignment="1">
      <alignment horizontal="center"/>
    </xf>
    <xf numFmtId="164" fontId="10" fillId="0" borderId="1" xfId="1" applyNumberFormat="1" applyFont="1" applyFill="1" applyBorder="1" applyAlignment="1"/>
    <xf numFmtId="0" fontId="16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right" wrapText="1"/>
    </xf>
    <xf numFmtId="164" fontId="11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 applyProtection="1">
      <alignment horizontal="center"/>
      <protection locked="0"/>
    </xf>
    <xf numFmtId="164" fontId="11" fillId="0" borderId="1" xfId="0" applyNumberFormat="1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1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wrapText="1"/>
    </xf>
    <xf numFmtId="164" fontId="8" fillId="7" borderId="1" xfId="0" applyNumberFormat="1" applyFont="1" applyFill="1" applyBorder="1" applyAlignment="1">
      <alignment wrapText="1"/>
    </xf>
    <xf numFmtId="164" fontId="8" fillId="6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wrapText="1"/>
    </xf>
    <xf numFmtId="164" fontId="6" fillId="5" borderId="1" xfId="0" applyNumberFormat="1" applyFont="1" applyFill="1" applyBorder="1" applyAlignment="1">
      <alignment horizontal="center" wrapText="1"/>
    </xf>
    <xf numFmtId="164" fontId="8" fillId="0" borderId="6" xfId="0" applyNumberFormat="1" applyFont="1" applyFill="1" applyBorder="1" applyAlignment="1">
      <alignment horizontal="left" wrapText="1"/>
    </xf>
    <xf numFmtId="164" fontId="8" fillId="0" borderId="29" xfId="0" applyNumberFormat="1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164" fontId="6" fillId="3" borderId="1" xfId="0" applyNumberFormat="1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left"/>
    </xf>
    <xf numFmtId="164" fontId="7" fillId="6" borderId="1" xfId="0" applyNumberFormat="1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left" wrapText="1"/>
    </xf>
    <xf numFmtId="164" fontId="21" fillId="5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wrapText="1"/>
    </xf>
    <xf numFmtId="164" fontId="6" fillId="0" borderId="30" xfId="0" applyNumberFormat="1" applyFont="1" applyFill="1" applyBorder="1" applyAlignment="1">
      <alignment wrapText="1"/>
    </xf>
    <xf numFmtId="164" fontId="9" fillId="0" borderId="2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3" xfId="0" applyFont="1" applyFill="1" applyBorder="1" applyAlignment="1">
      <alignment horizontal="center" wrapText="1"/>
    </xf>
    <xf numFmtId="49" fontId="23" fillId="0" borderId="1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 horizontal="left" wrapText="1"/>
    </xf>
    <xf numFmtId="49" fontId="26" fillId="0" borderId="0" xfId="0" applyNumberFormat="1" applyFont="1" applyFill="1" applyAlignment="1">
      <alignment horizontal="left" wrapText="1"/>
    </xf>
    <xf numFmtId="0" fontId="26" fillId="0" borderId="0" xfId="0" applyFont="1" applyFill="1" applyAlignment="1">
      <alignment horizontal="right" wrapText="1"/>
    </xf>
    <xf numFmtId="0" fontId="26" fillId="0" borderId="0" xfId="0" applyFont="1" applyFill="1" applyAlignment="1">
      <alignment horizontal="left"/>
    </xf>
    <xf numFmtId="49" fontId="25" fillId="0" borderId="0" xfId="0" applyNumberFormat="1" applyFont="1" applyFill="1" applyAlignment="1">
      <alignment horizontal="left" wrapText="1"/>
    </xf>
    <xf numFmtId="0" fontId="26" fillId="0" borderId="0" xfId="0" applyFont="1" applyFill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0" fontId="27" fillId="0" borderId="0" xfId="0" applyFont="1"/>
    <xf numFmtId="0" fontId="23" fillId="0" borderId="0" xfId="0" applyFont="1"/>
    <xf numFmtId="0" fontId="11" fillId="0" borderId="1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/>
    </xf>
    <xf numFmtId="0" fontId="3" fillId="0" borderId="20" xfId="4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left" wrapText="1"/>
    </xf>
    <xf numFmtId="164" fontId="3" fillId="0" borderId="31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49" fontId="3" fillId="0" borderId="20" xfId="0" applyNumberFormat="1" applyFont="1" applyFill="1" applyBorder="1" applyAlignment="1">
      <alignment wrapText="1"/>
    </xf>
    <xf numFmtId="49" fontId="3" fillId="0" borderId="1" xfId="3" applyNumberFormat="1" applyFont="1" applyFill="1" applyBorder="1" applyAlignment="1">
      <alignment horizontal="left" wrapText="1"/>
    </xf>
    <xf numFmtId="2" fontId="3" fillId="0" borderId="2" xfId="0" applyNumberFormat="1" applyFont="1" applyFill="1" applyBorder="1" applyAlignment="1">
      <alignment horizontal="left" wrapText="1"/>
    </xf>
    <xf numFmtId="0" fontId="3" fillId="0" borderId="20" xfId="3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left" wrapText="1"/>
    </xf>
    <xf numFmtId="0" fontId="1" fillId="0" borderId="20" xfId="3" applyFont="1" applyFill="1" applyBorder="1" applyAlignment="1">
      <alignment wrapText="1"/>
    </xf>
    <xf numFmtId="49" fontId="1" fillId="0" borderId="1" xfId="3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164" fontId="1" fillId="0" borderId="3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20" xfId="0" applyFont="1" applyFill="1" applyBorder="1" applyAlignment="1">
      <alignment wrapText="1"/>
    </xf>
    <xf numFmtId="49" fontId="1" fillId="0" borderId="20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left" wrapText="1"/>
    </xf>
    <xf numFmtId="0" fontId="1" fillId="0" borderId="6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 shrinkToFit="1"/>
    </xf>
    <xf numFmtId="49" fontId="3" fillId="0" borderId="1" xfId="0" applyNumberFormat="1" applyFont="1" applyFill="1" applyBorder="1" applyAlignment="1">
      <alignment horizontal="left" wrapText="1" shrinkToFit="1"/>
    </xf>
    <xf numFmtId="0" fontId="1" fillId="0" borderId="20" xfId="0" applyFont="1" applyFill="1" applyBorder="1" applyAlignment="1">
      <alignment horizontal="left" wrapText="1" shrinkToFit="1"/>
    </xf>
    <xf numFmtId="49" fontId="1" fillId="0" borderId="1" xfId="0" applyNumberFormat="1" applyFont="1" applyFill="1" applyBorder="1" applyAlignment="1">
      <alignment horizontal="left" wrapText="1" shrinkToFit="1"/>
    </xf>
    <xf numFmtId="2" fontId="1" fillId="0" borderId="1" xfId="0" applyNumberFormat="1" applyFont="1" applyFill="1" applyBorder="1" applyAlignment="1">
      <alignment horizontal="left" wrapText="1" shrinkToFit="1"/>
    </xf>
    <xf numFmtId="164" fontId="1" fillId="0" borderId="31" xfId="0" applyNumberFormat="1" applyFont="1" applyFill="1" applyBorder="1" applyAlignment="1">
      <alignment horizontal="right" wrapText="1" shrinkToFit="1"/>
    </xf>
    <xf numFmtId="49" fontId="3" fillId="0" borderId="24" xfId="0" applyNumberFormat="1" applyFont="1" applyFill="1" applyBorder="1" applyAlignment="1">
      <alignment wrapText="1"/>
    </xf>
    <xf numFmtId="49" fontId="28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49" fontId="29" fillId="0" borderId="1" xfId="0" applyNumberFormat="1" applyFont="1" applyFill="1" applyBorder="1" applyAlignment="1">
      <alignment horizontal="left" wrapText="1"/>
    </xf>
    <xf numFmtId="49" fontId="1" fillId="0" borderId="24" xfId="0" applyNumberFormat="1" applyFont="1" applyFill="1" applyBorder="1" applyAlignment="1">
      <alignment wrapText="1"/>
    </xf>
    <xf numFmtId="0" fontId="30" fillId="0" borderId="20" xfId="0" applyFont="1" applyFill="1" applyBorder="1" applyAlignment="1">
      <alignment wrapText="1"/>
    </xf>
    <xf numFmtId="0" fontId="30" fillId="0" borderId="23" xfId="0" applyFont="1" applyFill="1" applyBorder="1" applyAlignment="1">
      <alignment wrapText="1"/>
    </xf>
    <xf numFmtId="49" fontId="1" fillId="0" borderId="3" xfId="0" applyNumberFormat="1" applyFont="1" applyFill="1" applyBorder="1" applyAlignment="1">
      <alignment horizontal="left" wrapText="1"/>
    </xf>
    <xf numFmtId="164" fontId="1" fillId="0" borderId="32" xfId="0" applyNumberFormat="1" applyFont="1" applyFill="1" applyBorder="1" applyAlignment="1">
      <alignment horizontal="right" wrapText="1"/>
    </xf>
    <xf numFmtId="0" fontId="3" fillId="0" borderId="20" xfId="0" applyFont="1" applyFill="1" applyBorder="1" applyAlignment="1">
      <alignment wrapText="1"/>
    </xf>
    <xf numFmtId="49" fontId="31" fillId="0" borderId="2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wrapText="1"/>
    </xf>
    <xf numFmtId="165" fontId="3" fillId="0" borderId="31" xfId="0" applyNumberFormat="1" applyFont="1" applyFill="1" applyBorder="1" applyAlignment="1">
      <alignment horizontal="right" wrapText="1"/>
    </xf>
    <xf numFmtId="165" fontId="1" fillId="0" borderId="31" xfId="0" applyNumberFormat="1" applyFont="1" applyFill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 wrapText="1"/>
    </xf>
    <xf numFmtId="0" fontId="31" fillId="0" borderId="20" xfId="0" applyFont="1" applyFill="1" applyBorder="1" applyAlignment="1">
      <alignment wrapText="1"/>
    </xf>
    <xf numFmtId="49" fontId="3" fillId="0" borderId="1" xfId="6" applyNumberFormat="1" applyFont="1" applyFill="1" applyBorder="1" applyAlignment="1">
      <alignment horizontal="left" wrapText="1"/>
    </xf>
    <xf numFmtId="49" fontId="1" fillId="0" borderId="1" xfId="6" applyNumberFormat="1" applyFont="1" applyFill="1" applyBorder="1" applyAlignment="1">
      <alignment horizontal="left" wrapText="1"/>
    </xf>
    <xf numFmtId="49" fontId="1" fillId="0" borderId="2" xfId="6" applyNumberFormat="1" applyFont="1" applyFill="1" applyBorder="1" applyAlignment="1">
      <alignment horizontal="left" wrapText="1"/>
    </xf>
    <xf numFmtId="0" fontId="32" fillId="0" borderId="1" xfId="0" applyFont="1" applyFill="1" applyBorder="1" applyAlignment="1">
      <alignment wrapText="1"/>
    </xf>
    <xf numFmtId="0" fontId="3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0" fillId="0" borderId="1" xfId="0" applyFont="1" applyFill="1" applyBorder="1" applyAlignment="1">
      <alignment wrapText="1"/>
    </xf>
    <xf numFmtId="49" fontId="30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/>
    </xf>
    <xf numFmtId="0" fontId="31" fillId="0" borderId="1" xfId="0" applyFont="1" applyFill="1" applyBorder="1" applyAlignment="1">
      <alignment wrapText="1"/>
    </xf>
    <xf numFmtId="49" fontId="31" fillId="0" borderId="1" xfId="0" applyNumberFormat="1" applyFont="1" applyFill="1" applyBorder="1" applyAlignment="1">
      <alignment horizontal="left" wrapText="1"/>
    </xf>
    <xf numFmtId="0" fontId="33" fillId="0" borderId="1" xfId="0" applyFont="1" applyFill="1" applyBorder="1" applyAlignment="1">
      <alignment wrapText="1"/>
    </xf>
    <xf numFmtId="49" fontId="33" fillId="0" borderId="1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 shrinkToFit="1"/>
    </xf>
    <xf numFmtId="49" fontId="1" fillId="0" borderId="1" xfId="0" applyNumberFormat="1" applyFont="1" applyFill="1" applyBorder="1" applyAlignment="1">
      <alignment horizontal="left" shrinkToFit="1"/>
    </xf>
    <xf numFmtId="164" fontId="1" fillId="0" borderId="31" xfId="0" applyNumberFormat="1" applyFont="1" applyFill="1" applyBorder="1" applyAlignment="1">
      <alignment horizontal="right" shrinkToFit="1"/>
    </xf>
    <xf numFmtId="0" fontId="1" fillId="0" borderId="20" xfId="0" applyFont="1" applyFill="1" applyBorder="1" applyAlignment="1">
      <alignment wrapText="1" shrinkToFit="1"/>
    </xf>
    <xf numFmtId="49" fontId="30" fillId="0" borderId="1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left" wrapText="1"/>
    </xf>
    <xf numFmtId="49" fontId="3" fillId="0" borderId="2" xfId="3" applyNumberFormat="1" applyFont="1" applyFill="1" applyBorder="1" applyAlignment="1">
      <alignment horizontal="left" wrapText="1"/>
    </xf>
    <xf numFmtId="0" fontId="34" fillId="0" borderId="0" xfId="0" applyFont="1" applyFill="1" applyBorder="1" applyAlignment="1">
      <alignment wrapText="1"/>
    </xf>
    <xf numFmtId="0" fontId="34" fillId="0" borderId="0" xfId="0" applyFont="1" applyFill="1" applyAlignment="1">
      <alignment wrapText="1"/>
    </xf>
    <xf numFmtId="165" fontId="3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Alignment="1">
      <alignment wrapText="1"/>
    </xf>
    <xf numFmtId="0" fontId="35" fillId="0" borderId="20" xfId="0" applyFont="1" applyFill="1" applyBorder="1" applyAlignment="1">
      <alignment wrapText="1"/>
    </xf>
    <xf numFmtId="0" fontId="35" fillId="0" borderId="1" xfId="0" applyFont="1" applyFill="1" applyBorder="1" applyAlignment="1">
      <alignment wrapText="1"/>
    </xf>
    <xf numFmtId="0" fontId="36" fillId="0" borderId="2" xfId="0" applyFont="1" applyFill="1" applyBorder="1" applyAlignment="1">
      <alignment wrapText="1"/>
    </xf>
    <xf numFmtId="0" fontId="35" fillId="0" borderId="2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49" fontId="1" fillId="0" borderId="1" xfId="2" applyNumberFormat="1" applyFont="1" applyFill="1" applyBorder="1" applyAlignment="1">
      <alignment horizontal="left" wrapText="1"/>
    </xf>
    <xf numFmtId="164" fontId="1" fillId="0" borderId="31" xfId="2" applyNumberFormat="1" applyFont="1" applyFill="1" applyBorder="1" applyAlignment="1">
      <alignment horizontal="right" wrapText="1"/>
    </xf>
    <xf numFmtId="0" fontId="3" fillId="0" borderId="20" xfId="7" applyFont="1" applyFill="1" applyBorder="1" applyAlignment="1">
      <alignment wrapText="1"/>
    </xf>
    <xf numFmtId="49" fontId="3" fillId="0" borderId="1" xfId="7" applyNumberFormat="1" applyFont="1" applyFill="1" applyBorder="1" applyAlignment="1">
      <alignment horizontal="left" wrapText="1"/>
    </xf>
    <xf numFmtId="49" fontId="3" fillId="0" borderId="1" xfId="2" applyNumberFormat="1" applyFont="1" applyFill="1" applyBorder="1" applyAlignment="1">
      <alignment horizontal="left" wrapText="1"/>
    </xf>
    <xf numFmtId="164" fontId="3" fillId="0" borderId="31" xfId="7" applyNumberFormat="1" applyFont="1" applyFill="1" applyBorder="1" applyAlignment="1">
      <alignment horizontal="right" wrapText="1"/>
    </xf>
    <xf numFmtId="0" fontId="3" fillId="0" borderId="1" xfId="7" applyFont="1" applyFill="1" applyBorder="1" applyAlignment="1">
      <alignment wrapText="1"/>
    </xf>
    <xf numFmtId="0" fontId="1" fillId="0" borderId="1" xfId="7" applyFont="1" applyFill="1" applyBorder="1" applyAlignment="1">
      <alignment wrapText="1"/>
    </xf>
    <xf numFmtId="49" fontId="1" fillId="0" borderId="1" xfId="7" applyNumberFormat="1" applyFont="1" applyFill="1" applyBorder="1" applyAlignment="1">
      <alignment horizontal="left" wrapText="1"/>
    </xf>
    <xf numFmtId="164" fontId="1" fillId="0" borderId="31" xfId="7" applyNumberFormat="1" applyFont="1" applyFill="1" applyBorder="1" applyAlignment="1">
      <alignment horizontal="right" wrapText="1"/>
    </xf>
    <xf numFmtId="0" fontId="3" fillId="0" borderId="20" xfId="9" applyFont="1" applyFill="1" applyBorder="1" applyAlignment="1">
      <alignment wrapText="1"/>
    </xf>
    <xf numFmtId="49" fontId="3" fillId="0" borderId="1" xfId="9" applyNumberFormat="1" applyFont="1" applyFill="1" applyBorder="1" applyAlignment="1">
      <alignment horizontal="left" wrapText="1"/>
    </xf>
    <xf numFmtId="0" fontId="3" fillId="0" borderId="20" xfId="8" applyFont="1" applyFill="1" applyBorder="1" applyAlignment="1">
      <alignment wrapText="1"/>
    </xf>
    <xf numFmtId="49" fontId="1" fillId="0" borderId="1" xfId="9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wrapText="1"/>
    </xf>
    <xf numFmtId="0" fontId="3" fillId="0" borderId="25" xfId="0" applyFont="1" applyFill="1" applyBorder="1" applyAlignment="1">
      <alignment horizontal="left" wrapText="1"/>
    </xf>
    <xf numFmtId="49" fontId="3" fillId="0" borderId="22" xfId="8" applyNumberFormat="1" applyFont="1" applyFill="1" applyBorder="1" applyAlignment="1">
      <alignment horizontal="left" wrapText="1"/>
    </xf>
    <xf numFmtId="164" fontId="3" fillId="0" borderId="33" xfId="8" applyNumberFormat="1" applyFont="1" applyFill="1" applyBorder="1" applyAlignment="1">
      <alignment horizontal="right" wrapText="1"/>
    </xf>
    <xf numFmtId="164" fontId="8" fillId="8" borderId="1" xfId="0" applyNumberFormat="1" applyFont="1" applyFill="1" applyBorder="1" applyAlignment="1">
      <alignment horizontal="left" wrapText="1"/>
    </xf>
    <xf numFmtId="0" fontId="1" fillId="8" borderId="0" xfId="0" applyFont="1" applyFill="1" applyAlignment="1">
      <alignment horizontal="left"/>
    </xf>
    <xf numFmtId="164" fontId="6" fillId="0" borderId="1" xfId="0" applyNumberFormat="1" applyFont="1" applyFill="1" applyBorder="1" applyAlignment="1">
      <alignment horizontal="center"/>
    </xf>
    <xf numFmtId="164" fontId="1" fillId="3" borderId="31" xfId="7" applyNumberFormat="1" applyFont="1" applyFill="1" applyBorder="1" applyAlignment="1">
      <alignment horizontal="right" wrapText="1"/>
    </xf>
    <xf numFmtId="164" fontId="1" fillId="3" borderId="31" xfId="0" applyNumberFormat="1" applyFont="1" applyFill="1" applyBorder="1" applyAlignment="1">
      <alignment horizontal="right" wrapText="1"/>
    </xf>
    <xf numFmtId="164" fontId="1" fillId="3" borderId="31" xfId="0" applyNumberFormat="1" applyFont="1" applyFill="1" applyBorder="1" applyAlignment="1">
      <alignment horizontal="right" wrapText="1" shrinkToFit="1"/>
    </xf>
    <xf numFmtId="165" fontId="1" fillId="3" borderId="1" xfId="0" applyNumberFormat="1" applyFont="1" applyFill="1" applyBorder="1" applyAlignment="1">
      <alignment horizontal="right" wrapText="1"/>
    </xf>
    <xf numFmtId="0" fontId="23" fillId="0" borderId="23" xfId="0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left"/>
    </xf>
    <xf numFmtId="164" fontId="6" fillId="3" borderId="1" xfId="0" applyNumberFormat="1" applyFont="1" applyFill="1" applyBorder="1" applyAlignment="1">
      <alignment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3" fillId="0" borderId="3" xfId="0" applyFont="1" applyFill="1" applyBorder="1" applyAlignment="1">
      <alignment horizontal="center" wrapText="1"/>
    </xf>
    <xf numFmtId="49" fontId="23" fillId="0" borderId="14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 wrapText="1"/>
    </xf>
    <xf numFmtId="49" fontId="23" fillId="0" borderId="3" xfId="0" applyNumberFormat="1" applyFont="1" applyFill="1" applyBorder="1" applyAlignment="1">
      <alignment horizontal="center" wrapText="1"/>
    </xf>
    <xf numFmtId="0" fontId="23" fillId="0" borderId="7" xfId="0" applyFont="1" applyFill="1" applyBorder="1" applyAlignment="1">
      <alignment horizontal="center" wrapText="1"/>
    </xf>
    <xf numFmtId="0" fontId="23" fillId="0" borderId="35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wrapText="1"/>
    </xf>
    <xf numFmtId="49" fontId="23" fillId="0" borderId="7" xfId="0" applyNumberFormat="1" applyFont="1" applyFill="1" applyBorder="1" applyAlignment="1">
      <alignment horizontal="center" wrapText="1"/>
    </xf>
    <xf numFmtId="49" fontId="23" fillId="0" borderId="37" xfId="0" applyNumberFormat="1" applyFont="1" applyFill="1" applyBorder="1" applyAlignment="1">
      <alignment horizontal="center" wrapText="1"/>
    </xf>
    <xf numFmtId="49" fontId="23" fillId="0" borderId="8" xfId="0" applyNumberFormat="1" applyFont="1" applyFill="1" applyBorder="1" applyAlignment="1">
      <alignment horizontal="center" wrapText="1"/>
    </xf>
    <xf numFmtId="49" fontId="23" fillId="0" borderId="35" xfId="0" applyNumberFormat="1" applyFont="1" applyFill="1" applyBorder="1" applyAlignment="1">
      <alignment horizontal="center" wrapText="1"/>
    </xf>
    <xf numFmtId="49" fontId="23" fillId="0" borderId="0" xfId="0" applyNumberFormat="1" applyFont="1" applyFill="1" applyBorder="1" applyAlignment="1">
      <alignment horizontal="center" wrapText="1"/>
    </xf>
    <xf numFmtId="49" fontId="23" fillId="0" borderId="36" xfId="0" applyNumberFormat="1" applyFont="1" applyFill="1" applyBorder="1" applyAlignment="1">
      <alignment horizontal="center" wrapText="1"/>
    </xf>
    <xf numFmtId="49" fontId="23" fillId="0" borderId="4" xfId="0" applyNumberFormat="1" applyFont="1" applyFill="1" applyBorder="1" applyAlignment="1">
      <alignment horizontal="center" wrapText="1"/>
    </xf>
    <xf numFmtId="49" fontId="23" fillId="0" borderId="5" xfId="0" applyNumberFormat="1" applyFont="1" applyFill="1" applyBorder="1" applyAlignment="1">
      <alignment horizontal="center" wrapText="1"/>
    </xf>
    <xf numFmtId="49" fontId="23" fillId="0" borderId="12" xfId="0" applyNumberFormat="1" applyFont="1" applyFill="1" applyBorder="1" applyAlignment="1">
      <alignment horizontal="center" wrapText="1"/>
    </xf>
    <xf numFmtId="49" fontId="23" fillId="0" borderId="6" xfId="0" applyNumberFormat="1" applyFont="1" applyFill="1" applyBorder="1" applyAlignment="1">
      <alignment horizontal="center" wrapText="1"/>
    </xf>
    <xf numFmtId="0" fontId="24" fillId="0" borderId="15" xfId="0" applyFont="1" applyFill="1" applyBorder="1" applyAlignment="1"/>
    <xf numFmtId="0" fontId="24" fillId="0" borderId="2" xfId="0" applyFont="1" applyFill="1" applyBorder="1" applyAlignment="1"/>
    <xf numFmtId="0" fontId="22" fillId="0" borderId="1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 wrapText="1"/>
    </xf>
    <xf numFmtId="0" fontId="24" fillId="0" borderId="32" xfId="0" applyFont="1" applyFill="1" applyBorder="1" applyAlignment="1"/>
    <xf numFmtId="49" fontId="25" fillId="0" borderId="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left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7" borderId="13" xfId="0" applyFont="1" applyFill="1" applyBorder="1" applyAlignment="1">
      <alignment horizontal="center" vertical="top" wrapText="1"/>
    </xf>
    <xf numFmtId="0" fontId="1" fillId="7" borderId="3" xfId="0" applyFont="1" applyFill="1" applyBorder="1" applyAlignment="1">
      <alignment horizontal="center" vertical="top" wrapText="1"/>
    </xf>
    <xf numFmtId="0" fontId="1" fillId="6" borderId="13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</cellXfs>
  <cellStyles count="10">
    <cellStyle name="Обычный" xfId="0" builtinId="0"/>
    <cellStyle name="Обычный 10" xfId="9"/>
    <cellStyle name="Обычный 11" xfId="5"/>
    <cellStyle name="Обычный 4" xfId="2"/>
    <cellStyle name="Обычный 5" xfId="4"/>
    <cellStyle name="Обычный 6" xfId="3"/>
    <cellStyle name="Обычный 7" xfId="6"/>
    <cellStyle name="Обычный 8" xfId="8"/>
    <cellStyle name="Обычный 9" xfId="7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379"/>
  <sheetViews>
    <sheetView view="pageBreakPreview" zoomScale="75" zoomScaleNormal="90" zoomScaleSheetLayoutView="75" workbookViewId="0">
      <selection activeCell="E12" sqref="E12"/>
    </sheetView>
  </sheetViews>
  <sheetFormatPr defaultColWidth="9.109375" defaultRowHeight="18"/>
  <cols>
    <col min="1" max="1" width="2.33203125" style="50" customWidth="1"/>
    <col min="2" max="2" width="7" style="50" customWidth="1"/>
    <col min="3" max="3" width="60.109375" style="51" customWidth="1"/>
    <col min="4" max="4" width="24.6640625" style="50" customWidth="1"/>
    <col min="5" max="5" width="26.109375" style="50" customWidth="1"/>
    <col min="6" max="6" width="24.44140625" style="50" customWidth="1"/>
    <col min="7" max="7" width="12.6640625" style="70" bestFit="1" customWidth="1"/>
    <col min="8" max="8" width="9.44140625" style="70" bestFit="1" customWidth="1"/>
    <col min="9" max="16384" width="9.109375" style="50"/>
  </cols>
  <sheetData>
    <row r="2" spans="2:8" s="46" customFormat="1" ht="21.75" customHeight="1">
      <c r="D2" s="47"/>
      <c r="E2" s="253" t="s">
        <v>56</v>
      </c>
      <c r="F2" s="253"/>
      <c r="G2" s="48"/>
      <c r="H2" s="48"/>
    </row>
    <row r="3" spans="2:8" s="46" customFormat="1" ht="21.75" customHeight="1">
      <c r="D3" s="47"/>
      <c r="E3" s="253" t="s">
        <v>107</v>
      </c>
      <c r="F3" s="253"/>
      <c r="G3" s="48"/>
      <c r="H3" s="48"/>
    </row>
    <row r="4" spans="2:8" s="46" customFormat="1" ht="31.5" customHeight="1">
      <c r="D4" s="47"/>
      <c r="E4" s="253" t="s">
        <v>108</v>
      </c>
      <c r="F4" s="253"/>
      <c r="G4" s="48"/>
      <c r="H4" s="48"/>
    </row>
    <row r="5" spans="2:8" s="46" customFormat="1" ht="38.25" customHeight="1">
      <c r="D5" s="47"/>
      <c r="E5" s="253" t="s">
        <v>466</v>
      </c>
      <c r="F5" s="253"/>
      <c r="G5" s="48"/>
      <c r="H5" s="48"/>
    </row>
    <row r="6" spans="2:8" s="46" customFormat="1">
      <c r="G6" s="48"/>
      <c r="H6" s="48"/>
    </row>
    <row r="8" spans="2:8" ht="29.25" customHeight="1">
      <c r="B8" s="256" t="s">
        <v>455</v>
      </c>
      <c r="C8" s="256"/>
      <c r="D8" s="256"/>
      <c r="E8" s="256"/>
      <c r="F8" s="256"/>
      <c r="G8" s="49"/>
      <c r="H8" s="49"/>
    </row>
    <row r="9" spans="2:8">
      <c r="B9" s="49"/>
      <c r="C9" s="51" t="s">
        <v>18</v>
      </c>
      <c r="D9" s="49"/>
      <c r="E9" s="49"/>
      <c r="F9" s="49"/>
      <c r="G9" s="49"/>
      <c r="H9" s="49"/>
    </row>
    <row r="10" spans="2:8">
      <c r="B10" s="49"/>
      <c r="C10" s="49"/>
      <c r="D10" s="49"/>
      <c r="E10" s="49"/>
      <c r="F10" s="52" t="s">
        <v>0</v>
      </c>
      <c r="G10" s="49"/>
      <c r="H10" s="49"/>
    </row>
    <row r="11" spans="2:8" s="54" customFormat="1">
      <c r="B11" s="254" t="s">
        <v>2</v>
      </c>
      <c r="C11" s="255" t="s">
        <v>1</v>
      </c>
      <c r="D11" s="254" t="s">
        <v>198</v>
      </c>
      <c r="E11" s="254" t="s">
        <v>3</v>
      </c>
      <c r="F11" s="254"/>
      <c r="G11" s="53"/>
      <c r="H11" s="53"/>
    </row>
    <row r="12" spans="2:8" s="54" customFormat="1">
      <c r="B12" s="254"/>
      <c r="C12" s="255"/>
      <c r="D12" s="254"/>
      <c r="E12" s="141" t="s">
        <v>297</v>
      </c>
      <c r="F12" s="141" t="s">
        <v>453</v>
      </c>
      <c r="G12" s="53"/>
      <c r="H12" s="53"/>
    </row>
    <row r="13" spans="2:8" s="140" customFormat="1" ht="18.75" customHeight="1">
      <c r="B13" s="137">
        <v>1</v>
      </c>
      <c r="C13" s="138">
        <v>2</v>
      </c>
      <c r="D13" s="137">
        <v>3</v>
      </c>
      <c r="E13" s="137">
        <v>4</v>
      </c>
      <c r="F13" s="137">
        <v>5</v>
      </c>
      <c r="G13" s="139"/>
      <c r="H13" s="139"/>
    </row>
    <row r="14" spans="2:8" s="57" customFormat="1" ht="40.5" customHeight="1">
      <c r="B14" s="71" t="s">
        <v>4</v>
      </c>
      <c r="C14" s="72" t="s">
        <v>5</v>
      </c>
      <c r="D14" s="73">
        <f>D16+D19</f>
        <v>77634</v>
      </c>
      <c r="E14" s="73">
        <f>E16+E19</f>
        <v>78546.7</v>
      </c>
      <c r="F14" s="73">
        <f>F16+F19</f>
        <v>81365.900000000009</v>
      </c>
      <c r="G14" s="55">
        <v>1.0249999999999999</v>
      </c>
      <c r="H14" s="56">
        <v>1.05</v>
      </c>
    </row>
    <row r="15" spans="2:8" s="57" customFormat="1" ht="17.25" customHeight="1">
      <c r="B15" s="74"/>
      <c r="C15" s="75" t="s">
        <v>19</v>
      </c>
      <c r="D15" s="76"/>
      <c r="E15" s="76"/>
      <c r="F15" s="76"/>
      <c r="G15" s="55">
        <v>1.0249999999999999</v>
      </c>
      <c r="H15" s="56">
        <v>1.05</v>
      </c>
    </row>
    <row r="16" spans="2:8" s="61" customFormat="1" ht="38.25" customHeight="1">
      <c r="B16" s="77"/>
      <c r="C16" s="72" t="s">
        <v>6</v>
      </c>
      <c r="D16" s="73">
        <f>(4809.1+69155)</f>
        <v>73964.100000000006</v>
      </c>
      <c r="E16" s="245">
        <f>(71644.9+4982.2)</f>
        <v>76627.099999999991</v>
      </c>
      <c r="F16" s="245">
        <f>(74224.1+5161.6)</f>
        <v>79385.700000000012</v>
      </c>
      <c r="G16" s="59">
        <v>1.0249999999999999</v>
      </c>
      <c r="H16" s="60">
        <v>1.05</v>
      </c>
    </row>
    <row r="17" spans="2:8" s="57" customFormat="1" hidden="1">
      <c r="B17" s="74"/>
      <c r="C17" s="75" t="s">
        <v>7</v>
      </c>
      <c r="D17" s="76"/>
      <c r="E17" s="76"/>
      <c r="F17" s="76"/>
      <c r="G17" s="55">
        <v>1.0249999999999999</v>
      </c>
      <c r="H17" s="56">
        <v>1.05</v>
      </c>
    </row>
    <row r="18" spans="2:8" s="64" customFormat="1" ht="30" hidden="1" customHeight="1">
      <c r="B18" s="78"/>
      <c r="C18" s="79" t="s">
        <v>20</v>
      </c>
      <c r="D18" s="80">
        <v>0</v>
      </c>
      <c r="E18" s="80">
        <f>D18*G18</f>
        <v>0</v>
      </c>
      <c r="F18" s="80">
        <f>E18*G18</f>
        <v>0</v>
      </c>
      <c r="G18" s="62">
        <v>1.0249999999999999</v>
      </c>
      <c r="H18" s="63">
        <v>1.05</v>
      </c>
    </row>
    <row r="19" spans="2:8" s="61" customFormat="1" ht="32.25" customHeight="1">
      <c r="B19" s="77"/>
      <c r="C19" s="72" t="s">
        <v>8</v>
      </c>
      <c r="D19" s="73">
        <f>D21+D22+D24</f>
        <v>3669.8999999999996</v>
      </c>
      <c r="E19" s="73">
        <f t="shared" ref="E19:F19" si="0">E21+E22+E24</f>
        <v>1919.6</v>
      </c>
      <c r="F19" s="73">
        <f t="shared" si="0"/>
        <v>1980.1999999999998</v>
      </c>
      <c r="G19" s="59">
        <v>1.0249999999999999</v>
      </c>
      <c r="H19" s="60">
        <v>1.05</v>
      </c>
    </row>
    <row r="20" spans="2:8" s="57" customFormat="1" ht="30" customHeight="1">
      <c r="B20" s="74"/>
      <c r="C20" s="75" t="s">
        <v>19</v>
      </c>
      <c r="D20" s="76"/>
      <c r="E20" s="81"/>
      <c r="F20" s="81"/>
      <c r="G20" s="55">
        <v>1.0249999999999999</v>
      </c>
      <c r="H20" s="56">
        <v>1.05</v>
      </c>
    </row>
    <row r="21" spans="2:8" s="64" customFormat="1" ht="104.25" customHeight="1">
      <c r="B21" s="78"/>
      <c r="C21" s="79" t="s">
        <v>104</v>
      </c>
      <c r="D21" s="80">
        <f>1851.8</f>
        <v>1851.8</v>
      </c>
      <c r="E21" s="80">
        <f>1919.6</f>
        <v>1919.6</v>
      </c>
      <c r="F21" s="80">
        <f>1919.6+60.6</f>
        <v>1980.1999999999998</v>
      </c>
      <c r="G21" s="62"/>
      <c r="H21" s="63"/>
    </row>
    <row r="22" spans="2:8" s="64" customFormat="1" ht="57" hidden="1" customHeight="1">
      <c r="B22" s="78"/>
      <c r="C22" s="79" t="s">
        <v>105</v>
      </c>
      <c r="D22" s="80">
        <v>0</v>
      </c>
      <c r="E22" s="80">
        <v>0</v>
      </c>
      <c r="F22" s="80">
        <v>0</v>
      </c>
      <c r="G22" s="62">
        <v>1.0249999999999999</v>
      </c>
      <c r="H22" s="63">
        <v>1.05</v>
      </c>
    </row>
    <row r="23" spans="2:8" s="64" customFormat="1" ht="6.75" hidden="1" customHeight="1">
      <c r="B23" s="78"/>
      <c r="C23" s="79"/>
      <c r="D23" s="80"/>
      <c r="E23" s="80"/>
      <c r="F23" s="80"/>
      <c r="G23" s="62">
        <v>1.0249999999999999</v>
      </c>
      <c r="H23" s="63">
        <v>1.05</v>
      </c>
    </row>
    <row r="24" spans="2:8" s="64" customFormat="1" ht="81" customHeight="1">
      <c r="B24" s="78"/>
      <c r="C24" s="82" t="s">
        <v>456</v>
      </c>
      <c r="D24" s="80">
        <f>1818.1</f>
        <v>1818.1</v>
      </c>
      <c r="E24" s="80">
        <f>0</f>
        <v>0</v>
      </c>
      <c r="F24" s="80">
        <f>0</f>
        <v>0</v>
      </c>
      <c r="G24" s="62"/>
      <c r="H24" s="63"/>
    </row>
    <row r="25" spans="2:8" s="57" customFormat="1" ht="44.25" customHeight="1">
      <c r="B25" s="71" t="s">
        <v>9</v>
      </c>
      <c r="C25" s="72" t="s">
        <v>10</v>
      </c>
      <c r="D25" s="73">
        <f>'Расх КВСР ФСР ЦСР ВР 2019-21'!K597</f>
        <v>77634</v>
      </c>
      <c r="E25" s="73">
        <f>'Расх КВСР ФСР ЦСР ВР 2019-21'!L597</f>
        <v>78546.683199999999</v>
      </c>
      <c r="F25" s="73">
        <f>'Расх КВСР ФСР ЦСР ВР 2019-21'!M597</f>
        <v>81365.914099999995</v>
      </c>
      <c r="G25" s="55">
        <v>1.0249999999999999</v>
      </c>
      <c r="H25" s="56">
        <v>1.05</v>
      </c>
    </row>
    <row r="26" spans="2:8" s="57" customFormat="1" ht="31.5" customHeight="1">
      <c r="B26" s="74"/>
      <c r="C26" s="75" t="s">
        <v>19</v>
      </c>
      <c r="D26" s="76"/>
      <c r="E26" s="76"/>
      <c r="F26" s="76"/>
      <c r="G26" s="55">
        <v>1.0249999999999999</v>
      </c>
      <c r="H26" s="56">
        <v>1.05</v>
      </c>
    </row>
    <row r="27" spans="2:8" s="61" customFormat="1" ht="52.5" hidden="1" customHeight="1">
      <c r="B27" s="77"/>
      <c r="C27" s="72" t="s">
        <v>103</v>
      </c>
      <c r="D27" s="73">
        <f>D29</f>
        <v>0</v>
      </c>
      <c r="E27" s="73">
        <f t="shared" ref="E27:F27" si="1">E29</f>
        <v>0</v>
      </c>
      <c r="F27" s="73">
        <f t="shared" si="1"/>
        <v>0</v>
      </c>
      <c r="G27" s="59">
        <v>1.0249999999999999</v>
      </c>
      <c r="H27" s="60">
        <v>1.05</v>
      </c>
    </row>
    <row r="28" spans="2:8" s="57" customFormat="1" ht="28.5" hidden="1" customHeight="1">
      <c r="B28" s="74"/>
      <c r="C28" s="75" t="s">
        <v>7</v>
      </c>
      <c r="D28" s="76"/>
      <c r="E28" s="76"/>
      <c r="F28" s="76"/>
      <c r="G28" s="55">
        <v>1.0249999999999999</v>
      </c>
      <c r="H28" s="56">
        <v>1.05</v>
      </c>
    </row>
    <row r="29" spans="2:8" s="61" customFormat="1" ht="72.75" hidden="1" customHeight="1">
      <c r="B29" s="77"/>
      <c r="C29" s="82" t="s">
        <v>106</v>
      </c>
      <c r="D29" s="73">
        <v>0</v>
      </c>
      <c r="E29" s="73">
        <v>0</v>
      </c>
      <c r="F29" s="73">
        <v>0</v>
      </c>
      <c r="G29" s="59">
        <v>1.0249999999999999</v>
      </c>
      <c r="H29" s="60">
        <v>1.05</v>
      </c>
    </row>
    <row r="30" spans="2:8" s="57" customFormat="1" ht="8.25" customHeight="1">
      <c r="B30" s="74"/>
      <c r="C30" s="83"/>
      <c r="D30" s="76"/>
      <c r="E30" s="76"/>
      <c r="F30" s="76"/>
      <c r="G30" s="55">
        <v>1.0249999999999999</v>
      </c>
      <c r="H30" s="56">
        <v>1.05</v>
      </c>
    </row>
    <row r="31" spans="2:8" s="57" customFormat="1" ht="26.25" customHeight="1">
      <c r="B31" s="71" t="s">
        <v>11</v>
      </c>
      <c r="C31" s="72" t="s">
        <v>12</v>
      </c>
      <c r="D31" s="73">
        <f>D14-D25</f>
        <v>0</v>
      </c>
      <c r="E31" s="73">
        <f>E14-E25</f>
        <v>1.6799999997601844E-2</v>
      </c>
      <c r="F31" s="73">
        <f>F14-F25</f>
        <v>-1.4099999985774048E-2</v>
      </c>
      <c r="G31" s="55">
        <v>1.0249999999999999</v>
      </c>
      <c r="H31" s="56">
        <v>1.05</v>
      </c>
    </row>
    <row r="32" spans="2:8" s="57" customFormat="1" ht="44.25" customHeight="1">
      <c r="B32" s="71" t="s">
        <v>13</v>
      </c>
      <c r="C32" s="72" t="s">
        <v>21</v>
      </c>
      <c r="D32" s="73">
        <f>D34+D37+D40+D43+D44</f>
        <v>0</v>
      </c>
      <c r="E32" s="73">
        <f>E34+E37+E40+E43+E44</f>
        <v>0</v>
      </c>
      <c r="F32" s="73">
        <f>F34+F37+F40+F43+F44</f>
        <v>0</v>
      </c>
      <c r="G32" s="55">
        <v>1.0249999999999999</v>
      </c>
      <c r="H32" s="56">
        <v>1.05</v>
      </c>
    </row>
    <row r="33" spans="1:8" s="57" customFormat="1">
      <c r="B33" s="74"/>
      <c r="C33" s="75" t="s">
        <v>7</v>
      </c>
      <c r="D33" s="76"/>
      <c r="E33" s="76"/>
      <c r="F33" s="76"/>
      <c r="G33" s="55">
        <v>1.0249999999999999</v>
      </c>
      <c r="H33" s="56">
        <v>1.05</v>
      </c>
    </row>
    <row r="34" spans="1:8" s="61" customFormat="1" ht="24" customHeight="1">
      <c r="B34" s="77"/>
      <c r="C34" s="72" t="s">
        <v>24</v>
      </c>
      <c r="D34" s="73">
        <f>D35+D36</f>
        <v>0</v>
      </c>
      <c r="E34" s="73">
        <f>E35+E36</f>
        <v>0</v>
      </c>
      <c r="F34" s="73">
        <f>F35+F36</f>
        <v>0</v>
      </c>
      <c r="G34" s="59">
        <v>1.0249999999999999</v>
      </c>
      <c r="H34" s="60">
        <v>1.05</v>
      </c>
    </row>
    <row r="35" spans="1:8" s="57" customFormat="1" ht="18" customHeight="1">
      <c r="B35" s="74"/>
      <c r="C35" s="79" t="s">
        <v>14</v>
      </c>
      <c r="D35" s="76"/>
      <c r="E35" s="76"/>
      <c r="F35" s="76"/>
      <c r="G35" s="55">
        <v>1.0249999999999999</v>
      </c>
      <c r="H35" s="56">
        <v>1.05</v>
      </c>
    </row>
    <row r="36" spans="1:8" s="57" customFormat="1" ht="17.25" customHeight="1">
      <c r="B36" s="74"/>
      <c r="C36" s="79" t="s">
        <v>15</v>
      </c>
      <c r="D36" s="76"/>
      <c r="E36" s="76"/>
      <c r="F36" s="76"/>
      <c r="G36" s="55">
        <v>1.0249999999999999</v>
      </c>
      <c r="H36" s="56">
        <v>1.05</v>
      </c>
    </row>
    <row r="37" spans="1:8" s="61" customFormat="1" ht="39.75" customHeight="1">
      <c r="B37" s="77"/>
      <c r="C37" s="72" t="s">
        <v>25</v>
      </c>
      <c r="D37" s="84">
        <f>D38+D39</f>
        <v>0</v>
      </c>
      <c r="E37" s="84">
        <f t="shared" ref="E37:F37" si="2">E38+E39</f>
        <v>0</v>
      </c>
      <c r="F37" s="84">
        <f t="shared" si="2"/>
        <v>0</v>
      </c>
      <c r="G37" s="59">
        <v>1.0249999999999999</v>
      </c>
      <c r="H37" s="60">
        <v>1.05</v>
      </c>
    </row>
    <row r="38" spans="1:8" s="57" customFormat="1" ht="18" customHeight="1">
      <c r="B38" s="74"/>
      <c r="C38" s="79" t="s">
        <v>14</v>
      </c>
      <c r="D38" s="85"/>
      <c r="E38" s="85"/>
      <c r="F38" s="85"/>
      <c r="G38" s="55">
        <v>1.0249999999999999</v>
      </c>
      <c r="H38" s="56">
        <v>1.05</v>
      </c>
    </row>
    <row r="39" spans="1:8" s="57" customFormat="1" ht="19.5" customHeight="1">
      <c r="B39" s="74"/>
      <c r="C39" s="79" t="s">
        <v>15</v>
      </c>
      <c r="D39" s="86"/>
      <c r="E39" s="85"/>
      <c r="F39" s="85"/>
      <c r="G39" s="55">
        <v>1.0249999999999999</v>
      </c>
      <c r="H39" s="56">
        <v>1.05</v>
      </c>
    </row>
    <row r="40" spans="1:8" s="61" customFormat="1" ht="33" hidden="1" customHeight="1">
      <c r="B40" s="77"/>
      <c r="C40" s="72" t="s">
        <v>26</v>
      </c>
      <c r="D40" s="84">
        <v>0</v>
      </c>
      <c r="E40" s="84">
        <v>0</v>
      </c>
      <c r="F40" s="84">
        <v>0</v>
      </c>
      <c r="G40" s="65">
        <v>1.0249999999999999</v>
      </c>
      <c r="H40" s="60">
        <v>1.05</v>
      </c>
    </row>
    <row r="41" spans="1:8" s="57" customFormat="1" ht="18.75" hidden="1" customHeight="1">
      <c r="B41" s="74"/>
      <c r="C41" s="79" t="s">
        <v>22</v>
      </c>
      <c r="D41" s="85"/>
      <c r="E41" s="85"/>
      <c r="F41" s="85"/>
      <c r="G41" s="66">
        <v>1.0249999999999999</v>
      </c>
      <c r="H41" s="56">
        <v>1.05</v>
      </c>
    </row>
    <row r="42" spans="1:8" s="57" customFormat="1" ht="21" hidden="1" customHeight="1">
      <c r="B42" s="74"/>
      <c r="C42" s="79" t="s">
        <v>23</v>
      </c>
      <c r="D42" s="85"/>
      <c r="E42" s="85"/>
      <c r="F42" s="85"/>
      <c r="G42" s="66">
        <v>1.0249999999999999</v>
      </c>
      <c r="H42" s="56">
        <v>1.05</v>
      </c>
    </row>
    <row r="43" spans="1:8" s="61" customFormat="1" ht="37.5" customHeight="1">
      <c r="B43" s="77"/>
      <c r="C43" s="72" t="s">
        <v>27</v>
      </c>
      <c r="D43" s="87"/>
      <c r="E43" s="87"/>
      <c r="F43" s="87"/>
      <c r="G43" s="65">
        <v>1.0249999999999999</v>
      </c>
      <c r="H43" s="60">
        <v>1.05</v>
      </c>
    </row>
    <row r="44" spans="1:8" s="61" customFormat="1" ht="24" customHeight="1">
      <c r="B44" s="77"/>
      <c r="C44" s="72" t="s">
        <v>16</v>
      </c>
      <c r="D44" s="87">
        <f>0</f>
        <v>0</v>
      </c>
      <c r="E44" s="87">
        <f>0</f>
        <v>0</v>
      </c>
      <c r="F44" s="87">
        <f>0</f>
        <v>0</v>
      </c>
      <c r="G44" s="65"/>
      <c r="H44" s="60"/>
    </row>
    <row r="45" spans="1:8" s="57" customFormat="1" ht="8.25" customHeight="1">
      <c r="B45" s="74"/>
      <c r="C45" s="75"/>
      <c r="D45" s="85"/>
      <c r="E45" s="88"/>
      <c r="F45" s="88"/>
      <c r="G45" s="66">
        <v>1.0249999999999999</v>
      </c>
      <c r="H45" s="56">
        <v>1.05</v>
      </c>
    </row>
    <row r="46" spans="1:8" s="61" customFormat="1" ht="32.25" customHeight="1">
      <c r="B46" s="71" t="s">
        <v>17</v>
      </c>
      <c r="C46" s="72" t="s">
        <v>136</v>
      </c>
      <c r="D46" s="87">
        <f>D16</f>
        <v>73964.100000000006</v>
      </c>
      <c r="E46" s="87">
        <f>E16</f>
        <v>76627.099999999991</v>
      </c>
      <c r="F46" s="87">
        <f>F16</f>
        <v>79385.700000000012</v>
      </c>
      <c r="G46" s="65">
        <v>1.0249999999999999</v>
      </c>
      <c r="H46" s="60">
        <v>1.05</v>
      </c>
    </row>
    <row r="47" spans="1:8" s="57" customFormat="1">
      <c r="C47" s="58"/>
      <c r="E47" s="67"/>
      <c r="F47" s="67"/>
      <c r="G47" s="68"/>
      <c r="H47" s="68"/>
    </row>
    <row r="48" spans="1:8" s="57" customFormat="1">
      <c r="A48" s="340" t="s">
        <v>463</v>
      </c>
      <c r="B48" s="340"/>
      <c r="C48" s="340"/>
      <c r="E48" s="67"/>
      <c r="F48" s="67"/>
      <c r="G48" s="68"/>
      <c r="H48" s="68"/>
    </row>
    <row r="49" spans="1:8" s="57" customFormat="1">
      <c r="A49" s="340" t="s">
        <v>464</v>
      </c>
      <c r="B49" s="340"/>
      <c r="C49" s="340"/>
      <c r="E49" s="67"/>
      <c r="F49" s="341" t="s">
        <v>465</v>
      </c>
      <c r="G49" s="68"/>
      <c r="H49" s="68"/>
    </row>
    <row r="50" spans="1:8" s="57" customFormat="1">
      <c r="C50" s="58"/>
      <c r="E50" s="67"/>
      <c r="F50" s="67"/>
      <c r="G50" s="68"/>
      <c r="H50" s="68"/>
    </row>
    <row r="51" spans="1:8" s="57" customFormat="1">
      <c r="C51" s="58"/>
      <c r="E51" s="67"/>
      <c r="F51" s="67"/>
      <c r="G51" s="68"/>
      <c r="H51" s="68"/>
    </row>
    <row r="52" spans="1:8" s="57" customFormat="1">
      <c r="C52" s="58"/>
      <c r="E52" s="67"/>
      <c r="F52" s="67"/>
      <c r="G52" s="68"/>
      <c r="H52" s="68"/>
    </row>
    <row r="53" spans="1:8" s="57" customFormat="1">
      <c r="C53" s="58"/>
      <c r="E53" s="67"/>
      <c r="F53" s="67"/>
      <c r="G53" s="68"/>
      <c r="H53" s="68"/>
    </row>
    <row r="54" spans="1:8" s="57" customFormat="1">
      <c r="C54" s="58"/>
      <c r="E54" s="67"/>
      <c r="F54" s="67"/>
      <c r="G54" s="68"/>
      <c r="H54" s="68"/>
    </row>
    <row r="55" spans="1:8" s="57" customFormat="1">
      <c r="C55" s="58"/>
      <c r="E55" s="67"/>
      <c r="F55" s="67"/>
      <c r="G55" s="68"/>
      <c r="H55" s="68"/>
    </row>
    <row r="56" spans="1:8" s="57" customFormat="1">
      <c r="C56" s="58"/>
      <c r="E56" s="67"/>
      <c r="F56" s="67"/>
      <c r="G56" s="68"/>
      <c r="H56" s="68"/>
    </row>
    <row r="57" spans="1:8" s="57" customFormat="1">
      <c r="C57" s="58"/>
      <c r="E57" s="67"/>
      <c r="F57" s="67"/>
      <c r="G57" s="68"/>
      <c r="H57" s="68"/>
    </row>
    <row r="58" spans="1:8" s="57" customFormat="1">
      <c r="C58" s="58"/>
      <c r="E58" s="67"/>
      <c r="F58" s="67"/>
      <c r="G58" s="68"/>
      <c r="H58" s="68"/>
    </row>
    <row r="59" spans="1:8" s="57" customFormat="1">
      <c r="C59" s="58"/>
      <c r="E59" s="67"/>
      <c r="F59" s="67"/>
      <c r="G59" s="68"/>
      <c r="H59" s="68"/>
    </row>
    <row r="60" spans="1:8" s="57" customFormat="1">
      <c r="C60" s="58"/>
      <c r="E60" s="67"/>
      <c r="F60" s="67"/>
      <c r="G60" s="68"/>
      <c r="H60" s="68"/>
    </row>
    <row r="61" spans="1:8" s="57" customFormat="1">
      <c r="C61" s="58"/>
      <c r="E61" s="67"/>
      <c r="F61" s="67"/>
      <c r="G61" s="68"/>
      <c r="H61" s="68"/>
    </row>
    <row r="62" spans="1:8" s="57" customFormat="1">
      <c r="C62" s="58"/>
      <c r="E62" s="67"/>
      <c r="F62" s="67"/>
      <c r="G62" s="68"/>
      <c r="H62" s="68"/>
    </row>
    <row r="63" spans="1:8" s="57" customFormat="1">
      <c r="C63" s="58"/>
      <c r="E63" s="67"/>
      <c r="F63" s="67"/>
      <c r="G63" s="68"/>
      <c r="H63" s="68"/>
    </row>
    <row r="64" spans="1:8" s="57" customFormat="1">
      <c r="C64" s="58"/>
      <c r="E64" s="67"/>
      <c r="F64" s="67"/>
      <c r="G64" s="68"/>
      <c r="H64" s="68"/>
    </row>
    <row r="65" spans="3:8" s="57" customFormat="1">
      <c r="C65" s="58"/>
      <c r="E65" s="67"/>
      <c r="F65" s="67"/>
      <c r="G65" s="68"/>
      <c r="H65" s="68"/>
    </row>
    <row r="66" spans="3:8" s="57" customFormat="1">
      <c r="C66" s="58"/>
      <c r="E66" s="67"/>
      <c r="F66" s="67"/>
      <c r="G66" s="68"/>
      <c r="H66" s="68"/>
    </row>
    <row r="67" spans="3:8" s="57" customFormat="1">
      <c r="C67" s="58"/>
      <c r="E67" s="67"/>
      <c r="F67" s="67"/>
      <c r="G67" s="68"/>
      <c r="H67" s="68"/>
    </row>
    <row r="68" spans="3:8" s="57" customFormat="1">
      <c r="C68" s="58"/>
      <c r="E68" s="67"/>
      <c r="F68" s="67"/>
      <c r="G68" s="68"/>
      <c r="H68" s="68"/>
    </row>
    <row r="69" spans="3:8" s="57" customFormat="1">
      <c r="C69" s="58"/>
      <c r="E69" s="67"/>
      <c r="F69" s="67"/>
      <c r="G69" s="68"/>
      <c r="H69" s="68"/>
    </row>
    <row r="70" spans="3:8" s="57" customFormat="1">
      <c r="C70" s="58"/>
      <c r="E70" s="67"/>
      <c r="F70" s="67"/>
      <c r="G70" s="68"/>
      <c r="H70" s="68"/>
    </row>
    <row r="71" spans="3:8" s="57" customFormat="1">
      <c r="C71" s="58"/>
      <c r="E71" s="67"/>
      <c r="F71" s="67"/>
      <c r="G71" s="68"/>
      <c r="H71" s="68"/>
    </row>
    <row r="72" spans="3:8" s="57" customFormat="1">
      <c r="C72" s="58"/>
      <c r="E72" s="67"/>
      <c r="F72" s="67"/>
      <c r="G72" s="68"/>
      <c r="H72" s="68"/>
    </row>
    <row r="73" spans="3:8" s="57" customFormat="1">
      <c r="C73" s="58"/>
      <c r="E73" s="67"/>
      <c r="F73" s="67"/>
      <c r="G73" s="68"/>
      <c r="H73" s="68"/>
    </row>
    <row r="74" spans="3:8" s="57" customFormat="1">
      <c r="C74" s="58"/>
      <c r="E74" s="67"/>
      <c r="F74" s="67"/>
      <c r="G74" s="68"/>
      <c r="H74" s="68"/>
    </row>
    <row r="75" spans="3:8" s="57" customFormat="1">
      <c r="C75" s="58"/>
      <c r="E75" s="67"/>
      <c r="F75" s="67"/>
      <c r="G75" s="68"/>
      <c r="H75" s="68"/>
    </row>
    <row r="76" spans="3:8" s="57" customFormat="1">
      <c r="C76" s="58"/>
      <c r="E76" s="67"/>
      <c r="F76" s="67"/>
      <c r="G76" s="68"/>
      <c r="H76" s="68"/>
    </row>
    <row r="77" spans="3:8" s="57" customFormat="1">
      <c r="C77" s="58"/>
      <c r="E77" s="67"/>
      <c r="F77" s="67"/>
      <c r="G77" s="68"/>
      <c r="H77" s="68"/>
    </row>
    <row r="78" spans="3:8" s="57" customFormat="1">
      <c r="C78" s="58"/>
      <c r="E78" s="67"/>
      <c r="F78" s="67"/>
      <c r="G78" s="68"/>
      <c r="H78" s="68"/>
    </row>
    <row r="79" spans="3:8" s="57" customFormat="1">
      <c r="C79" s="58"/>
      <c r="E79" s="67"/>
      <c r="F79" s="67"/>
      <c r="G79" s="68"/>
      <c r="H79" s="68"/>
    </row>
    <row r="80" spans="3:8" s="57" customFormat="1">
      <c r="C80" s="58"/>
      <c r="E80" s="67"/>
      <c r="F80" s="67"/>
      <c r="G80" s="68"/>
      <c r="H80" s="68"/>
    </row>
    <row r="81" spans="3:8" s="57" customFormat="1">
      <c r="C81" s="58"/>
      <c r="E81" s="67"/>
      <c r="F81" s="67"/>
      <c r="G81" s="68"/>
      <c r="H81" s="68"/>
    </row>
    <row r="82" spans="3:8" s="57" customFormat="1">
      <c r="C82" s="58"/>
      <c r="E82" s="67"/>
      <c r="F82" s="67"/>
      <c r="G82" s="68"/>
      <c r="H82" s="68"/>
    </row>
    <row r="83" spans="3:8" s="57" customFormat="1">
      <c r="C83" s="58"/>
      <c r="E83" s="67"/>
      <c r="F83" s="67"/>
      <c r="G83" s="68"/>
      <c r="H83" s="68"/>
    </row>
    <row r="84" spans="3:8" s="57" customFormat="1">
      <c r="C84" s="58"/>
      <c r="E84" s="67"/>
      <c r="F84" s="67"/>
      <c r="G84" s="68"/>
      <c r="H84" s="68"/>
    </row>
    <row r="85" spans="3:8" s="57" customFormat="1">
      <c r="C85" s="58"/>
      <c r="E85" s="67"/>
      <c r="F85" s="67"/>
      <c r="G85" s="68"/>
      <c r="H85" s="68"/>
    </row>
    <row r="86" spans="3:8" s="57" customFormat="1">
      <c r="C86" s="58"/>
      <c r="E86" s="67"/>
      <c r="F86" s="67"/>
      <c r="G86" s="68"/>
      <c r="H86" s="68"/>
    </row>
    <row r="87" spans="3:8" s="57" customFormat="1">
      <c r="C87" s="58"/>
      <c r="E87" s="67"/>
      <c r="F87" s="67"/>
      <c r="G87" s="68"/>
      <c r="H87" s="68"/>
    </row>
    <row r="88" spans="3:8" s="57" customFormat="1">
      <c r="C88" s="58"/>
      <c r="E88" s="67"/>
      <c r="F88" s="67"/>
      <c r="G88" s="68"/>
      <c r="H88" s="68"/>
    </row>
    <row r="89" spans="3:8" s="57" customFormat="1">
      <c r="C89" s="58"/>
      <c r="E89" s="67"/>
      <c r="F89" s="67"/>
      <c r="G89" s="68"/>
      <c r="H89" s="68"/>
    </row>
    <row r="90" spans="3:8" s="57" customFormat="1">
      <c r="C90" s="58"/>
      <c r="E90" s="67"/>
      <c r="F90" s="67"/>
      <c r="G90" s="68"/>
      <c r="H90" s="68"/>
    </row>
    <row r="91" spans="3:8" s="57" customFormat="1">
      <c r="C91" s="58"/>
      <c r="E91" s="67"/>
      <c r="F91" s="67"/>
      <c r="G91" s="68"/>
      <c r="H91" s="68"/>
    </row>
    <row r="92" spans="3:8" s="57" customFormat="1">
      <c r="C92" s="58"/>
      <c r="E92" s="67"/>
      <c r="F92" s="67"/>
      <c r="G92" s="68"/>
      <c r="H92" s="68"/>
    </row>
    <row r="93" spans="3:8" s="57" customFormat="1">
      <c r="C93" s="58"/>
      <c r="E93" s="67"/>
      <c r="F93" s="67"/>
      <c r="G93" s="68"/>
      <c r="H93" s="68"/>
    </row>
    <row r="94" spans="3:8" s="57" customFormat="1">
      <c r="C94" s="58"/>
      <c r="E94" s="67"/>
      <c r="F94" s="67"/>
      <c r="G94" s="68"/>
      <c r="H94" s="68"/>
    </row>
    <row r="95" spans="3:8" s="57" customFormat="1">
      <c r="C95" s="58"/>
      <c r="E95" s="67"/>
      <c r="F95" s="67"/>
      <c r="G95" s="68"/>
      <c r="H95" s="68"/>
    </row>
    <row r="96" spans="3:8" s="57" customFormat="1">
      <c r="C96" s="58"/>
      <c r="E96" s="67"/>
      <c r="F96" s="67"/>
      <c r="G96" s="68"/>
      <c r="H96" s="68"/>
    </row>
    <row r="97" spans="3:8" s="57" customFormat="1">
      <c r="C97" s="58"/>
      <c r="E97" s="67"/>
      <c r="F97" s="67"/>
      <c r="G97" s="68"/>
      <c r="H97" s="68"/>
    </row>
    <row r="98" spans="3:8" s="57" customFormat="1">
      <c r="C98" s="58"/>
      <c r="E98" s="67"/>
      <c r="F98" s="67"/>
      <c r="G98" s="68"/>
      <c r="H98" s="68"/>
    </row>
    <row r="99" spans="3:8" s="57" customFormat="1">
      <c r="C99" s="58"/>
      <c r="E99" s="67"/>
      <c r="F99" s="67"/>
      <c r="G99" s="68"/>
      <c r="H99" s="68"/>
    </row>
    <row r="100" spans="3:8" s="57" customFormat="1">
      <c r="C100" s="58"/>
      <c r="E100" s="67"/>
      <c r="F100" s="67"/>
      <c r="G100" s="68"/>
      <c r="H100" s="68"/>
    </row>
    <row r="101" spans="3:8" s="57" customFormat="1">
      <c r="C101" s="58"/>
      <c r="E101" s="67"/>
      <c r="F101" s="67"/>
      <c r="G101" s="68"/>
      <c r="H101" s="68"/>
    </row>
    <row r="102" spans="3:8" s="57" customFormat="1">
      <c r="C102" s="58"/>
      <c r="E102" s="67"/>
      <c r="F102" s="67"/>
      <c r="G102" s="68"/>
      <c r="H102" s="68"/>
    </row>
    <row r="103" spans="3:8" s="57" customFormat="1">
      <c r="C103" s="58"/>
      <c r="E103" s="67"/>
      <c r="F103" s="67"/>
      <c r="G103" s="68"/>
      <c r="H103" s="68"/>
    </row>
    <row r="104" spans="3:8" s="57" customFormat="1">
      <c r="C104" s="58"/>
      <c r="E104" s="67"/>
      <c r="F104" s="67"/>
      <c r="G104" s="68"/>
      <c r="H104" s="68"/>
    </row>
    <row r="105" spans="3:8" s="57" customFormat="1">
      <c r="C105" s="58"/>
      <c r="E105" s="67"/>
      <c r="F105" s="67"/>
      <c r="G105" s="68"/>
      <c r="H105" s="68"/>
    </row>
    <row r="106" spans="3:8" s="57" customFormat="1">
      <c r="C106" s="58"/>
      <c r="E106" s="67"/>
      <c r="F106" s="67"/>
      <c r="G106" s="68"/>
      <c r="H106" s="68"/>
    </row>
    <row r="107" spans="3:8" s="57" customFormat="1">
      <c r="C107" s="58"/>
      <c r="E107" s="67"/>
      <c r="F107" s="67"/>
      <c r="G107" s="68"/>
      <c r="H107" s="68"/>
    </row>
    <row r="108" spans="3:8" s="57" customFormat="1">
      <c r="C108" s="58"/>
      <c r="E108" s="67"/>
      <c r="F108" s="67"/>
      <c r="G108" s="68"/>
      <c r="H108" s="68"/>
    </row>
    <row r="109" spans="3:8" s="57" customFormat="1">
      <c r="C109" s="58"/>
      <c r="E109" s="67"/>
      <c r="F109" s="67"/>
      <c r="G109" s="68"/>
      <c r="H109" s="68"/>
    </row>
    <row r="110" spans="3:8" s="57" customFormat="1">
      <c r="C110" s="58"/>
      <c r="E110" s="67"/>
      <c r="F110" s="67"/>
      <c r="G110" s="68"/>
      <c r="H110" s="68"/>
    </row>
    <row r="111" spans="3:8" s="57" customFormat="1">
      <c r="C111" s="58"/>
      <c r="E111" s="67"/>
      <c r="F111" s="67"/>
      <c r="G111" s="68"/>
      <c r="H111" s="68"/>
    </row>
    <row r="112" spans="3:8" s="57" customFormat="1">
      <c r="C112" s="58"/>
      <c r="E112" s="67"/>
      <c r="F112" s="67"/>
      <c r="G112" s="68"/>
      <c r="H112" s="68"/>
    </row>
    <row r="113" spans="3:8" s="57" customFormat="1">
      <c r="C113" s="58"/>
      <c r="E113" s="67"/>
      <c r="F113" s="67"/>
      <c r="G113" s="68"/>
      <c r="H113" s="68"/>
    </row>
    <row r="114" spans="3:8" s="57" customFormat="1">
      <c r="C114" s="58"/>
      <c r="E114" s="67"/>
      <c r="F114" s="67"/>
      <c r="G114" s="68"/>
      <c r="H114" s="68"/>
    </row>
    <row r="115" spans="3:8" s="57" customFormat="1">
      <c r="C115" s="58"/>
      <c r="E115" s="67"/>
      <c r="F115" s="67"/>
      <c r="G115" s="68"/>
      <c r="H115" s="68"/>
    </row>
    <row r="116" spans="3:8" s="57" customFormat="1">
      <c r="C116" s="58"/>
      <c r="E116" s="67"/>
      <c r="F116" s="67"/>
      <c r="G116" s="68"/>
      <c r="H116" s="68"/>
    </row>
    <row r="117" spans="3:8" s="57" customFormat="1">
      <c r="C117" s="58"/>
      <c r="E117" s="67"/>
      <c r="F117" s="67"/>
      <c r="G117" s="68"/>
      <c r="H117" s="68"/>
    </row>
    <row r="118" spans="3:8" s="57" customFormat="1">
      <c r="C118" s="58"/>
      <c r="E118" s="67"/>
      <c r="F118" s="67"/>
      <c r="G118" s="68"/>
      <c r="H118" s="68"/>
    </row>
    <row r="119" spans="3:8" s="57" customFormat="1">
      <c r="C119" s="58"/>
      <c r="E119" s="67"/>
      <c r="F119" s="67"/>
      <c r="G119" s="68"/>
      <c r="H119" s="68"/>
    </row>
    <row r="120" spans="3:8" s="57" customFormat="1">
      <c r="C120" s="58"/>
      <c r="E120" s="67"/>
      <c r="F120" s="67"/>
      <c r="G120" s="68"/>
      <c r="H120" s="68"/>
    </row>
    <row r="121" spans="3:8" s="57" customFormat="1">
      <c r="C121" s="58"/>
      <c r="E121" s="67"/>
      <c r="F121" s="67"/>
      <c r="G121" s="68"/>
      <c r="H121" s="68"/>
    </row>
    <row r="122" spans="3:8" s="57" customFormat="1">
      <c r="C122" s="58"/>
      <c r="E122" s="67"/>
      <c r="F122" s="67"/>
      <c r="G122" s="68"/>
      <c r="H122" s="68"/>
    </row>
    <row r="123" spans="3:8" s="57" customFormat="1">
      <c r="C123" s="58"/>
      <c r="E123" s="67"/>
      <c r="F123" s="67"/>
      <c r="G123" s="68"/>
      <c r="H123" s="68"/>
    </row>
    <row r="124" spans="3:8" s="57" customFormat="1">
      <c r="C124" s="58"/>
      <c r="E124" s="67"/>
      <c r="F124" s="67"/>
      <c r="G124" s="68"/>
      <c r="H124" s="68"/>
    </row>
    <row r="125" spans="3:8" s="57" customFormat="1">
      <c r="C125" s="58"/>
      <c r="E125" s="67"/>
      <c r="F125" s="67"/>
      <c r="G125" s="68"/>
      <c r="H125" s="68"/>
    </row>
    <row r="126" spans="3:8" s="57" customFormat="1">
      <c r="C126" s="58"/>
      <c r="E126" s="67"/>
      <c r="F126" s="67"/>
      <c r="G126" s="68"/>
      <c r="H126" s="68"/>
    </row>
    <row r="127" spans="3:8" s="57" customFormat="1">
      <c r="C127" s="58"/>
      <c r="E127" s="67"/>
      <c r="F127" s="67"/>
      <c r="G127" s="68"/>
      <c r="H127" s="68"/>
    </row>
    <row r="128" spans="3:8" s="57" customFormat="1">
      <c r="C128" s="58"/>
      <c r="E128" s="67"/>
      <c r="F128" s="67"/>
      <c r="G128" s="68"/>
      <c r="H128" s="68"/>
    </row>
    <row r="129" spans="3:8" s="57" customFormat="1">
      <c r="C129" s="58"/>
      <c r="E129" s="67"/>
      <c r="F129" s="67"/>
      <c r="G129" s="68"/>
      <c r="H129" s="68"/>
    </row>
    <row r="130" spans="3:8" s="57" customFormat="1">
      <c r="C130" s="58"/>
      <c r="E130" s="67"/>
      <c r="F130" s="67"/>
      <c r="G130" s="68"/>
      <c r="H130" s="68"/>
    </row>
    <row r="131" spans="3:8" s="57" customFormat="1">
      <c r="C131" s="58"/>
      <c r="E131" s="67"/>
      <c r="F131" s="67"/>
      <c r="G131" s="68"/>
      <c r="H131" s="68"/>
    </row>
    <row r="132" spans="3:8" s="57" customFormat="1">
      <c r="C132" s="58"/>
      <c r="E132" s="67"/>
      <c r="F132" s="67"/>
      <c r="G132" s="68"/>
      <c r="H132" s="68"/>
    </row>
    <row r="133" spans="3:8" s="57" customFormat="1">
      <c r="C133" s="58"/>
      <c r="E133" s="67"/>
      <c r="F133" s="67"/>
      <c r="G133" s="68"/>
      <c r="H133" s="68"/>
    </row>
    <row r="134" spans="3:8" s="57" customFormat="1">
      <c r="C134" s="58"/>
      <c r="E134" s="67"/>
      <c r="F134" s="67"/>
      <c r="G134" s="68"/>
      <c r="H134" s="68"/>
    </row>
    <row r="135" spans="3:8" s="57" customFormat="1">
      <c r="C135" s="58"/>
      <c r="E135" s="67"/>
      <c r="F135" s="67"/>
      <c r="G135" s="68"/>
      <c r="H135" s="68"/>
    </row>
    <row r="136" spans="3:8" s="57" customFormat="1">
      <c r="C136" s="58"/>
      <c r="E136" s="67"/>
      <c r="F136" s="67"/>
      <c r="G136" s="68"/>
      <c r="H136" s="68"/>
    </row>
    <row r="137" spans="3:8" s="57" customFormat="1">
      <c r="C137" s="58"/>
      <c r="E137" s="67"/>
      <c r="F137" s="67"/>
      <c r="G137" s="68"/>
      <c r="H137" s="68"/>
    </row>
    <row r="138" spans="3:8" s="57" customFormat="1">
      <c r="C138" s="58"/>
      <c r="E138" s="67"/>
      <c r="F138" s="67"/>
      <c r="G138" s="68"/>
      <c r="H138" s="68"/>
    </row>
    <row r="139" spans="3:8" s="57" customFormat="1">
      <c r="C139" s="58"/>
      <c r="E139" s="67"/>
      <c r="F139" s="67"/>
      <c r="G139" s="68"/>
      <c r="H139" s="68"/>
    </row>
    <row r="140" spans="3:8" s="57" customFormat="1">
      <c r="C140" s="58"/>
      <c r="E140" s="67"/>
      <c r="F140" s="67"/>
      <c r="G140" s="68"/>
      <c r="H140" s="68"/>
    </row>
    <row r="141" spans="3:8" s="57" customFormat="1">
      <c r="C141" s="58"/>
      <c r="E141" s="67"/>
      <c r="F141" s="67"/>
      <c r="G141" s="68"/>
      <c r="H141" s="68"/>
    </row>
    <row r="142" spans="3:8" s="57" customFormat="1">
      <c r="C142" s="58"/>
      <c r="E142" s="67"/>
      <c r="F142" s="67"/>
      <c r="G142" s="68"/>
      <c r="H142" s="68"/>
    </row>
    <row r="143" spans="3:8" s="57" customFormat="1">
      <c r="C143" s="58"/>
      <c r="E143" s="67"/>
      <c r="F143" s="67"/>
      <c r="G143" s="68"/>
      <c r="H143" s="68"/>
    </row>
    <row r="144" spans="3:8" s="57" customFormat="1">
      <c r="C144" s="58"/>
      <c r="E144" s="67"/>
      <c r="F144" s="67"/>
      <c r="G144" s="68"/>
      <c r="H144" s="68"/>
    </row>
    <row r="145" spans="3:8" s="57" customFormat="1">
      <c r="C145" s="58"/>
      <c r="E145" s="67"/>
      <c r="F145" s="67"/>
      <c r="G145" s="68"/>
      <c r="H145" s="68"/>
    </row>
    <row r="146" spans="3:8" s="57" customFormat="1">
      <c r="C146" s="58"/>
      <c r="E146" s="67"/>
      <c r="F146" s="67"/>
      <c r="G146" s="68"/>
      <c r="H146" s="68"/>
    </row>
    <row r="147" spans="3:8" s="57" customFormat="1">
      <c r="C147" s="58"/>
      <c r="E147" s="67"/>
      <c r="F147" s="67"/>
      <c r="G147" s="68"/>
      <c r="H147" s="68"/>
    </row>
    <row r="148" spans="3:8" s="57" customFormat="1">
      <c r="C148" s="58"/>
      <c r="E148" s="67"/>
      <c r="F148" s="67"/>
      <c r="G148" s="68"/>
      <c r="H148" s="68"/>
    </row>
    <row r="149" spans="3:8" s="57" customFormat="1">
      <c r="C149" s="58"/>
      <c r="E149" s="67"/>
      <c r="F149" s="67"/>
      <c r="G149" s="68"/>
      <c r="H149" s="68"/>
    </row>
    <row r="150" spans="3:8" s="57" customFormat="1">
      <c r="C150" s="58"/>
      <c r="E150" s="67"/>
      <c r="F150" s="67"/>
      <c r="G150" s="68"/>
      <c r="H150" s="68"/>
    </row>
    <row r="151" spans="3:8" s="57" customFormat="1">
      <c r="C151" s="58"/>
      <c r="E151" s="67"/>
      <c r="F151" s="67"/>
      <c r="G151" s="68"/>
      <c r="H151" s="68"/>
    </row>
    <row r="152" spans="3:8" s="57" customFormat="1">
      <c r="C152" s="58"/>
      <c r="E152" s="67"/>
      <c r="F152" s="67"/>
      <c r="G152" s="68"/>
      <c r="H152" s="68"/>
    </row>
    <row r="153" spans="3:8" s="57" customFormat="1">
      <c r="C153" s="58"/>
      <c r="E153" s="67"/>
      <c r="F153" s="67"/>
      <c r="G153" s="68"/>
      <c r="H153" s="68"/>
    </row>
    <row r="154" spans="3:8" s="57" customFormat="1">
      <c r="C154" s="58"/>
      <c r="E154" s="67"/>
      <c r="F154" s="67"/>
      <c r="G154" s="68"/>
      <c r="H154" s="68"/>
    </row>
    <row r="155" spans="3:8" s="57" customFormat="1">
      <c r="C155" s="58"/>
      <c r="E155" s="67"/>
      <c r="F155" s="67"/>
      <c r="G155" s="68"/>
      <c r="H155" s="68"/>
    </row>
    <row r="156" spans="3:8" s="57" customFormat="1">
      <c r="C156" s="58"/>
      <c r="E156" s="67"/>
      <c r="F156" s="67"/>
      <c r="G156" s="68"/>
      <c r="H156" s="68"/>
    </row>
    <row r="157" spans="3:8" s="57" customFormat="1">
      <c r="C157" s="58"/>
      <c r="E157" s="67"/>
      <c r="F157" s="67"/>
      <c r="G157" s="68"/>
      <c r="H157" s="68"/>
    </row>
    <row r="158" spans="3:8" s="57" customFormat="1">
      <c r="C158" s="58"/>
      <c r="E158" s="67"/>
      <c r="F158" s="67"/>
      <c r="G158" s="68"/>
      <c r="H158" s="68"/>
    </row>
    <row r="159" spans="3:8" s="57" customFormat="1">
      <c r="C159" s="58"/>
      <c r="E159" s="67"/>
      <c r="F159" s="67"/>
      <c r="G159" s="68"/>
      <c r="H159" s="68"/>
    </row>
    <row r="160" spans="3:8" s="57" customFormat="1">
      <c r="C160" s="58"/>
      <c r="E160" s="67"/>
      <c r="F160" s="67"/>
      <c r="G160" s="68"/>
      <c r="H160" s="68"/>
    </row>
    <row r="161" spans="3:8" s="57" customFormat="1">
      <c r="C161" s="58"/>
      <c r="E161" s="67"/>
      <c r="F161" s="67"/>
      <c r="G161" s="68"/>
      <c r="H161" s="68"/>
    </row>
    <row r="162" spans="3:8" s="57" customFormat="1">
      <c r="C162" s="58"/>
      <c r="E162" s="67"/>
      <c r="F162" s="67"/>
      <c r="G162" s="68"/>
      <c r="H162" s="68"/>
    </row>
    <row r="163" spans="3:8" s="57" customFormat="1">
      <c r="C163" s="58"/>
      <c r="E163" s="67"/>
      <c r="F163" s="67"/>
      <c r="G163" s="68"/>
      <c r="H163" s="68"/>
    </row>
    <row r="164" spans="3:8" s="57" customFormat="1">
      <c r="C164" s="58"/>
      <c r="E164" s="67"/>
      <c r="F164" s="67"/>
      <c r="G164" s="68"/>
      <c r="H164" s="68"/>
    </row>
    <row r="165" spans="3:8" s="57" customFormat="1">
      <c r="C165" s="58"/>
      <c r="E165" s="67"/>
      <c r="F165" s="67"/>
      <c r="G165" s="68"/>
      <c r="H165" s="68"/>
    </row>
    <row r="166" spans="3:8" s="57" customFormat="1">
      <c r="C166" s="58"/>
      <c r="E166" s="67"/>
      <c r="F166" s="67"/>
      <c r="G166" s="68"/>
      <c r="H166" s="68"/>
    </row>
    <row r="167" spans="3:8" s="57" customFormat="1">
      <c r="C167" s="58"/>
      <c r="E167" s="67"/>
      <c r="F167" s="67"/>
      <c r="G167" s="68"/>
      <c r="H167" s="68"/>
    </row>
    <row r="168" spans="3:8" s="57" customFormat="1">
      <c r="C168" s="58"/>
      <c r="E168" s="67"/>
      <c r="F168" s="67"/>
      <c r="G168" s="68"/>
      <c r="H168" s="68"/>
    </row>
    <row r="169" spans="3:8" s="57" customFormat="1">
      <c r="C169" s="58"/>
      <c r="E169" s="67"/>
      <c r="F169" s="67"/>
      <c r="G169" s="68"/>
      <c r="H169" s="68"/>
    </row>
    <row r="170" spans="3:8" s="57" customFormat="1">
      <c r="C170" s="58"/>
      <c r="E170" s="67"/>
      <c r="F170" s="67"/>
      <c r="G170" s="68"/>
      <c r="H170" s="68"/>
    </row>
    <row r="171" spans="3:8" s="57" customFormat="1">
      <c r="C171" s="58"/>
      <c r="E171" s="67"/>
      <c r="F171" s="67"/>
      <c r="G171" s="68"/>
      <c r="H171" s="68"/>
    </row>
    <row r="172" spans="3:8" s="57" customFormat="1">
      <c r="C172" s="58"/>
      <c r="E172" s="67"/>
      <c r="F172" s="67"/>
      <c r="G172" s="68"/>
      <c r="H172" s="68"/>
    </row>
    <row r="173" spans="3:8" s="57" customFormat="1">
      <c r="C173" s="58"/>
      <c r="E173" s="67"/>
      <c r="F173" s="67"/>
      <c r="G173" s="68"/>
      <c r="H173" s="68"/>
    </row>
    <row r="174" spans="3:8" s="57" customFormat="1">
      <c r="C174" s="58"/>
      <c r="E174" s="67"/>
      <c r="F174" s="67"/>
      <c r="G174" s="68"/>
      <c r="H174" s="68"/>
    </row>
    <row r="175" spans="3:8" s="57" customFormat="1">
      <c r="C175" s="58"/>
      <c r="E175" s="67"/>
      <c r="F175" s="67"/>
      <c r="G175" s="68"/>
      <c r="H175" s="68"/>
    </row>
    <row r="176" spans="3:8" s="57" customFormat="1">
      <c r="C176" s="58"/>
      <c r="E176" s="67"/>
      <c r="F176" s="67"/>
      <c r="G176" s="68"/>
      <c r="H176" s="68"/>
    </row>
    <row r="177" spans="3:8" s="57" customFormat="1">
      <c r="C177" s="58"/>
      <c r="E177" s="67"/>
      <c r="F177" s="67"/>
      <c r="G177" s="68"/>
      <c r="H177" s="68"/>
    </row>
    <row r="178" spans="3:8" s="57" customFormat="1">
      <c r="C178" s="58"/>
      <c r="E178" s="67"/>
      <c r="F178" s="67"/>
      <c r="G178" s="68"/>
      <c r="H178" s="68"/>
    </row>
    <row r="179" spans="3:8" s="57" customFormat="1">
      <c r="C179" s="58"/>
      <c r="E179" s="67"/>
      <c r="F179" s="67"/>
      <c r="G179" s="68"/>
      <c r="H179" s="68"/>
    </row>
    <row r="180" spans="3:8" s="57" customFormat="1">
      <c r="C180" s="58"/>
      <c r="E180" s="67"/>
      <c r="F180" s="67"/>
      <c r="G180" s="68"/>
      <c r="H180" s="68"/>
    </row>
    <row r="181" spans="3:8" s="57" customFormat="1">
      <c r="C181" s="58"/>
      <c r="E181" s="67"/>
      <c r="F181" s="67"/>
      <c r="G181" s="68"/>
      <c r="H181" s="68"/>
    </row>
    <row r="182" spans="3:8" s="57" customFormat="1">
      <c r="C182" s="58"/>
      <c r="E182" s="67"/>
      <c r="F182" s="67"/>
      <c r="G182" s="68"/>
      <c r="H182" s="68"/>
    </row>
    <row r="183" spans="3:8" s="57" customFormat="1">
      <c r="C183" s="58"/>
      <c r="E183" s="67"/>
      <c r="F183" s="67"/>
      <c r="G183" s="68"/>
      <c r="H183" s="68"/>
    </row>
    <row r="184" spans="3:8" s="57" customFormat="1">
      <c r="C184" s="58"/>
      <c r="E184" s="67"/>
      <c r="F184" s="67"/>
      <c r="G184" s="68"/>
      <c r="H184" s="68"/>
    </row>
    <row r="185" spans="3:8" s="57" customFormat="1">
      <c r="C185" s="58"/>
      <c r="E185" s="67"/>
      <c r="F185" s="67"/>
      <c r="G185" s="68"/>
      <c r="H185" s="68"/>
    </row>
    <row r="186" spans="3:8" s="57" customFormat="1">
      <c r="C186" s="58"/>
      <c r="E186" s="67"/>
      <c r="F186" s="67"/>
      <c r="G186" s="68"/>
      <c r="H186" s="68"/>
    </row>
    <row r="187" spans="3:8" s="57" customFormat="1">
      <c r="C187" s="58"/>
      <c r="E187" s="67"/>
      <c r="F187" s="67"/>
      <c r="G187" s="68"/>
      <c r="H187" s="68"/>
    </row>
    <row r="188" spans="3:8" s="57" customFormat="1">
      <c r="C188" s="58"/>
      <c r="E188" s="67"/>
      <c r="F188" s="67"/>
      <c r="G188" s="68"/>
      <c r="H188" s="68"/>
    </row>
    <row r="189" spans="3:8" s="57" customFormat="1">
      <c r="C189" s="58"/>
      <c r="E189" s="67"/>
      <c r="F189" s="67"/>
      <c r="G189" s="68"/>
      <c r="H189" s="68"/>
    </row>
    <row r="190" spans="3:8" s="57" customFormat="1">
      <c r="C190" s="58"/>
      <c r="E190" s="67"/>
      <c r="F190" s="67"/>
      <c r="G190" s="68"/>
      <c r="H190" s="68"/>
    </row>
    <row r="191" spans="3:8" s="57" customFormat="1">
      <c r="C191" s="58"/>
      <c r="E191" s="67"/>
      <c r="F191" s="67"/>
      <c r="G191" s="68"/>
      <c r="H191" s="68"/>
    </row>
    <row r="192" spans="3:8" s="57" customFormat="1">
      <c r="C192" s="58"/>
      <c r="E192" s="67"/>
      <c r="F192" s="67"/>
      <c r="G192" s="68"/>
      <c r="H192" s="68"/>
    </row>
    <row r="193" spans="3:8" s="57" customFormat="1">
      <c r="C193" s="58"/>
      <c r="E193" s="67"/>
      <c r="F193" s="67"/>
      <c r="G193" s="68"/>
      <c r="H193" s="68"/>
    </row>
    <row r="194" spans="3:8" s="57" customFormat="1">
      <c r="C194" s="58"/>
      <c r="E194" s="67"/>
      <c r="F194" s="67"/>
      <c r="G194" s="68"/>
      <c r="H194" s="68"/>
    </row>
    <row r="195" spans="3:8" s="57" customFormat="1">
      <c r="C195" s="58"/>
      <c r="E195" s="67"/>
      <c r="F195" s="67"/>
      <c r="G195" s="68"/>
      <c r="H195" s="68"/>
    </row>
    <row r="196" spans="3:8" s="57" customFormat="1">
      <c r="C196" s="58"/>
      <c r="E196" s="67"/>
      <c r="F196" s="67"/>
      <c r="G196" s="68"/>
      <c r="H196" s="68"/>
    </row>
    <row r="197" spans="3:8" s="57" customFormat="1">
      <c r="C197" s="58"/>
      <c r="E197" s="67"/>
      <c r="F197" s="67"/>
      <c r="G197" s="68"/>
      <c r="H197" s="68"/>
    </row>
    <row r="198" spans="3:8" s="57" customFormat="1">
      <c r="C198" s="58"/>
      <c r="E198" s="67"/>
      <c r="F198" s="67"/>
      <c r="G198" s="68"/>
      <c r="H198" s="68"/>
    </row>
    <row r="199" spans="3:8" s="57" customFormat="1">
      <c r="C199" s="58"/>
      <c r="E199" s="67"/>
      <c r="F199" s="67"/>
      <c r="G199" s="68"/>
      <c r="H199" s="68"/>
    </row>
    <row r="200" spans="3:8">
      <c r="C200" s="58"/>
      <c r="D200" s="57"/>
      <c r="E200" s="67"/>
      <c r="F200" s="67"/>
      <c r="G200" s="68"/>
      <c r="H200" s="68"/>
    </row>
    <row r="201" spans="3:8">
      <c r="C201" s="49"/>
      <c r="D201" s="49"/>
      <c r="E201" s="69"/>
      <c r="F201" s="69"/>
      <c r="G201" s="49"/>
      <c r="H201" s="49"/>
    </row>
    <row r="202" spans="3:8">
      <c r="C202" s="49"/>
      <c r="D202" s="49"/>
      <c r="E202" s="69"/>
      <c r="F202" s="69"/>
      <c r="G202" s="49"/>
      <c r="H202" s="49"/>
    </row>
    <row r="203" spans="3:8">
      <c r="C203" s="49"/>
      <c r="D203" s="49"/>
      <c r="E203" s="69"/>
      <c r="F203" s="69"/>
      <c r="G203" s="49"/>
      <c r="H203" s="49"/>
    </row>
    <row r="204" spans="3:8">
      <c r="C204" s="49"/>
      <c r="D204" s="49"/>
      <c r="E204" s="69"/>
      <c r="F204" s="69"/>
      <c r="G204" s="49"/>
      <c r="H204" s="49"/>
    </row>
    <row r="205" spans="3:8">
      <c r="C205" s="49"/>
      <c r="D205" s="49"/>
      <c r="E205" s="69"/>
      <c r="F205" s="69"/>
      <c r="G205" s="49"/>
      <c r="H205" s="49"/>
    </row>
    <row r="206" spans="3:8">
      <c r="C206" s="49"/>
      <c r="D206" s="49"/>
      <c r="E206" s="69"/>
      <c r="F206" s="69"/>
      <c r="G206" s="49"/>
      <c r="H206" s="49"/>
    </row>
    <row r="207" spans="3:8">
      <c r="C207" s="49"/>
      <c r="D207" s="49"/>
      <c r="E207" s="69"/>
      <c r="F207" s="69"/>
      <c r="G207" s="49"/>
      <c r="H207" s="49"/>
    </row>
    <row r="208" spans="3:8">
      <c r="C208" s="49"/>
      <c r="D208" s="49"/>
      <c r="E208" s="69"/>
      <c r="F208" s="69"/>
      <c r="G208" s="49"/>
      <c r="H208" s="49"/>
    </row>
    <row r="209" spans="3:8">
      <c r="C209" s="49"/>
      <c r="D209" s="49"/>
      <c r="E209" s="69"/>
      <c r="F209" s="69"/>
      <c r="G209" s="49"/>
      <c r="H209" s="49"/>
    </row>
    <row r="210" spans="3:8">
      <c r="C210" s="49"/>
      <c r="D210" s="49"/>
      <c r="E210" s="69"/>
      <c r="F210" s="69"/>
      <c r="G210" s="49"/>
      <c r="H210" s="49"/>
    </row>
    <row r="211" spans="3:8">
      <c r="C211" s="49"/>
      <c r="D211" s="49"/>
      <c r="E211" s="69"/>
      <c r="F211" s="69"/>
      <c r="G211" s="49"/>
      <c r="H211" s="49"/>
    </row>
    <row r="212" spans="3:8">
      <c r="C212" s="49"/>
      <c r="D212" s="49"/>
      <c r="E212" s="69"/>
      <c r="F212" s="69"/>
      <c r="G212" s="49"/>
      <c r="H212" s="49"/>
    </row>
    <row r="213" spans="3:8">
      <c r="C213" s="49"/>
      <c r="D213" s="49"/>
      <c r="E213" s="69"/>
      <c r="F213" s="69"/>
      <c r="G213" s="49"/>
      <c r="H213" s="49"/>
    </row>
    <row r="214" spans="3:8">
      <c r="E214" s="69"/>
      <c r="F214" s="69"/>
    </row>
    <row r="215" spans="3:8">
      <c r="E215" s="69"/>
      <c r="F215" s="69"/>
    </row>
    <row r="216" spans="3:8">
      <c r="E216" s="69"/>
      <c r="F216" s="69"/>
    </row>
    <row r="217" spans="3:8">
      <c r="E217" s="69"/>
      <c r="F217" s="69"/>
    </row>
    <row r="218" spans="3:8">
      <c r="E218" s="69"/>
      <c r="F218" s="69"/>
    </row>
    <row r="219" spans="3:8">
      <c r="E219" s="69"/>
      <c r="F219" s="69"/>
    </row>
    <row r="220" spans="3:8">
      <c r="E220" s="69"/>
      <c r="F220" s="69"/>
    </row>
    <row r="221" spans="3:8">
      <c r="E221" s="69"/>
      <c r="F221" s="69"/>
    </row>
    <row r="222" spans="3:8">
      <c r="E222" s="69"/>
      <c r="F222" s="69"/>
    </row>
    <row r="223" spans="3:8">
      <c r="E223" s="69"/>
      <c r="F223" s="69"/>
    </row>
    <row r="224" spans="3:8">
      <c r="E224" s="69"/>
      <c r="F224" s="69"/>
    </row>
    <row r="225" spans="5:6">
      <c r="E225" s="69"/>
      <c r="F225" s="69"/>
    </row>
    <row r="226" spans="5:6">
      <c r="E226" s="69"/>
      <c r="F226" s="69"/>
    </row>
    <row r="227" spans="5:6">
      <c r="E227" s="69"/>
      <c r="F227" s="69"/>
    </row>
    <row r="228" spans="5:6">
      <c r="E228" s="69"/>
      <c r="F228" s="69"/>
    </row>
    <row r="229" spans="5:6">
      <c r="E229" s="69"/>
      <c r="F229" s="69"/>
    </row>
    <row r="230" spans="5:6">
      <c r="E230" s="69"/>
      <c r="F230" s="69"/>
    </row>
    <row r="231" spans="5:6">
      <c r="E231" s="69"/>
      <c r="F231" s="69"/>
    </row>
    <row r="232" spans="5:6">
      <c r="E232" s="69"/>
      <c r="F232" s="69"/>
    </row>
    <row r="233" spans="5:6">
      <c r="E233" s="69"/>
      <c r="F233" s="69"/>
    </row>
    <row r="234" spans="5:6">
      <c r="E234" s="69"/>
      <c r="F234" s="69"/>
    </row>
    <row r="235" spans="5:6">
      <c r="E235" s="69"/>
      <c r="F235" s="69"/>
    </row>
    <row r="236" spans="5:6">
      <c r="E236" s="69"/>
      <c r="F236" s="69"/>
    </row>
    <row r="237" spans="5:6">
      <c r="E237" s="69"/>
      <c r="F237" s="69"/>
    </row>
    <row r="238" spans="5:6">
      <c r="E238" s="69"/>
      <c r="F238" s="69"/>
    </row>
    <row r="239" spans="5:6">
      <c r="E239" s="69"/>
      <c r="F239" s="69"/>
    </row>
    <row r="240" spans="5:6">
      <c r="E240" s="69"/>
      <c r="F240" s="69"/>
    </row>
    <row r="241" spans="5:6">
      <c r="E241" s="69"/>
      <c r="F241" s="69"/>
    </row>
    <row r="242" spans="5:6">
      <c r="E242" s="69"/>
      <c r="F242" s="69"/>
    </row>
    <row r="243" spans="5:6">
      <c r="E243" s="69"/>
      <c r="F243" s="69"/>
    </row>
    <row r="244" spans="5:6">
      <c r="E244" s="69"/>
      <c r="F244" s="69"/>
    </row>
    <row r="245" spans="5:6">
      <c r="E245" s="69"/>
      <c r="F245" s="69"/>
    </row>
    <row r="246" spans="5:6">
      <c r="E246" s="69"/>
      <c r="F246" s="69"/>
    </row>
    <row r="247" spans="5:6">
      <c r="E247" s="69"/>
      <c r="F247" s="69"/>
    </row>
    <row r="248" spans="5:6">
      <c r="E248" s="69"/>
      <c r="F248" s="69"/>
    </row>
    <row r="249" spans="5:6">
      <c r="E249" s="69"/>
      <c r="F249" s="69"/>
    </row>
    <row r="250" spans="5:6">
      <c r="E250" s="69"/>
      <c r="F250" s="69"/>
    </row>
    <row r="251" spans="5:6">
      <c r="E251" s="69"/>
      <c r="F251" s="69"/>
    </row>
    <row r="252" spans="5:6">
      <c r="E252" s="69"/>
      <c r="F252" s="69"/>
    </row>
    <row r="253" spans="5:6">
      <c r="E253" s="69"/>
      <c r="F253" s="69"/>
    </row>
    <row r="254" spans="5:6">
      <c r="E254" s="69"/>
      <c r="F254" s="69"/>
    </row>
    <row r="255" spans="5:6">
      <c r="E255" s="69"/>
      <c r="F255" s="69"/>
    </row>
    <row r="256" spans="5:6">
      <c r="E256" s="69"/>
      <c r="F256" s="69"/>
    </row>
    <row r="257" spans="5:6">
      <c r="E257" s="69"/>
      <c r="F257" s="69"/>
    </row>
    <row r="258" spans="5:6">
      <c r="E258" s="69"/>
      <c r="F258" s="69"/>
    </row>
    <row r="259" spans="5:6">
      <c r="E259" s="69"/>
      <c r="F259" s="69"/>
    </row>
    <row r="260" spans="5:6">
      <c r="E260" s="69"/>
      <c r="F260" s="69"/>
    </row>
    <row r="261" spans="5:6">
      <c r="E261" s="69"/>
      <c r="F261" s="69"/>
    </row>
    <row r="262" spans="5:6">
      <c r="E262" s="69"/>
      <c r="F262" s="69"/>
    </row>
    <row r="263" spans="5:6">
      <c r="E263" s="69"/>
      <c r="F263" s="69"/>
    </row>
    <row r="264" spans="5:6">
      <c r="E264" s="69"/>
      <c r="F264" s="69"/>
    </row>
    <row r="265" spans="5:6">
      <c r="E265" s="69"/>
      <c r="F265" s="69"/>
    </row>
    <row r="266" spans="5:6">
      <c r="E266" s="69"/>
      <c r="F266" s="69"/>
    </row>
    <row r="267" spans="5:6">
      <c r="E267" s="69"/>
      <c r="F267" s="69"/>
    </row>
    <row r="268" spans="5:6">
      <c r="E268" s="69"/>
      <c r="F268" s="69"/>
    </row>
    <row r="269" spans="5:6">
      <c r="E269" s="69"/>
      <c r="F269" s="69"/>
    </row>
    <row r="270" spans="5:6">
      <c r="E270" s="69"/>
      <c r="F270" s="69"/>
    </row>
    <row r="271" spans="5:6">
      <c r="E271" s="69"/>
      <c r="F271" s="69"/>
    </row>
    <row r="272" spans="5:6">
      <c r="E272" s="69"/>
      <c r="F272" s="69"/>
    </row>
    <row r="273" spans="5:6">
      <c r="E273" s="69"/>
      <c r="F273" s="69"/>
    </row>
    <row r="274" spans="5:6">
      <c r="E274" s="69"/>
      <c r="F274" s="69"/>
    </row>
    <row r="275" spans="5:6">
      <c r="E275" s="69"/>
      <c r="F275" s="69"/>
    </row>
    <row r="276" spans="5:6">
      <c r="E276" s="69"/>
      <c r="F276" s="69"/>
    </row>
    <row r="277" spans="5:6">
      <c r="E277" s="69"/>
      <c r="F277" s="69"/>
    </row>
    <row r="278" spans="5:6">
      <c r="E278" s="69"/>
      <c r="F278" s="69"/>
    </row>
    <row r="279" spans="5:6">
      <c r="E279" s="69"/>
      <c r="F279" s="69"/>
    </row>
    <row r="280" spans="5:6">
      <c r="E280" s="69"/>
      <c r="F280" s="69"/>
    </row>
    <row r="281" spans="5:6">
      <c r="E281" s="69"/>
      <c r="F281" s="69"/>
    </row>
    <row r="282" spans="5:6">
      <c r="E282" s="69"/>
      <c r="F282" s="69"/>
    </row>
    <row r="283" spans="5:6">
      <c r="E283" s="69"/>
      <c r="F283" s="69"/>
    </row>
    <row r="284" spans="5:6">
      <c r="E284" s="69"/>
      <c r="F284" s="69"/>
    </row>
    <row r="285" spans="5:6">
      <c r="E285" s="69"/>
      <c r="F285" s="69"/>
    </row>
    <row r="286" spans="5:6">
      <c r="E286" s="69"/>
      <c r="F286" s="69"/>
    </row>
    <row r="287" spans="5:6">
      <c r="E287" s="69"/>
      <c r="F287" s="69"/>
    </row>
    <row r="288" spans="5:6">
      <c r="E288" s="69"/>
      <c r="F288" s="69"/>
    </row>
    <row r="289" spans="5:6">
      <c r="E289" s="69"/>
      <c r="F289" s="69"/>
    </row>
    <row r="290" spans="5:6">
      <c r="E290" s="69"/>
      <c r="F290" s="69"/>
    </row>
    <row r="291" spans="5:6">
      <c r="E291" s="69"/>
      <c r="F291" s="69"/>
    </row>
    <row r="292" spans="5:6">
      <c r="E292" s="69"/>
      <c r="F292" s="69"/>
    </row>
    <row r="293" spans="5:6">
      <c r="E293" s="69"/>
      <c r="F293" s="69"/>
    </row>
    <row r="294" spans="5:6">
      <c r="E294" s="69"/>
      <c r="F294" s="69"/>
    </row>
    <row r="295" spans="5:6">
      <c r="E295" s="69"/>
      <c r="F295" s="69"/>
    </row>
    <row r="296" spans="5:6">
      <c r="E296" s="69"/>
      <c r="F296" s="69"/>
    </row>
    <row r="297" spans="5:6">
      <c r="E297" s="69"/>
      <c r="F297" s="69"/>
    </row>
    <row r="298" spans="5:6">
      <c r="E298" s="69"/>
      <c r="F298" s="69"/>
    </row>
    <row r="299" spans="5:6">
      <c r="E299" s="69"/>
      <c r="F299" s="69"/>
    </row>
    <row r="300" spans="5:6">
      <c r="E300" s="69"/>
      <c r="F300" s="69"/>
    </row>
    <row r="301" spans="5:6">
      <c r="E301" s="69"/>
      <c r="F301" s="69"/>
    </row>
    <row r="302" spans="5:6">
      <c r="E302" s="69"/>
      <c r="F302" s="69"/>
    </row>
    <row r="303" spans="5:6">
      <c r="E303" s="69"/>
      <c r="F303" s="69"/>
    </row>
    <row r="304" spans="5:6">
      <c r="E304" s="69"/>
      <c r="F304" s="69"/>
    </row>
    <row r="305" spans="5:6">
      <c r="E305" s="69"/>
      <c r="F305" s="69"/>
    </row>
    <row r="306" spans="5:6">
      <c r="E306" s="69"/>
      <c r="F306" s="69"/>
    </row>
    <row r="307" spans="5:6">
      <c r="E307" s="69"/>
      <c r="F307" s="69"/>
    </row>
    <row r="308" spans="5:6">
      <c r="E308" s="69"/>
      <c r="F308" s="69"/>
    </row>
    <row r="309" spans="5:6">
      <c r="E309" s="69"/>
      <c r="F309" s="69"/>
    </row>
    <row r="310" spans="5:6">
      <c r="E310" s="69"/>
      <c r="F310" s="69"/>
    </row>
    <row r="311" spans="5:6">
      <c r="E311" s="69"/>
      <c r="F311" s="69"/>
    </row>
    <row r="312" spans="5:6">
      <c r="E312" s="69"/>
      <c r="F312" s="69"/>
    </row>
    <row r="313" spans="5:6">
      <c r="E313" s="69"/>
      <c r="F313" s="69"/>
    </row>
    <row r="314" spans="5:6">
      <c r="E314" s="69"/>
      <c r="F314" s="69"/>
    </row>
    <row r="315" spans="5:6">
      <c r="E315" s="69"/>
      <c r="F315" s="69"/>
    </row>
    <row r="316" spans="5:6">
      <c r="E316" s="69"/>
      <c r="F316" s="69"/>
    </row>
    <row r="317" spans="5:6">
      <c r="E317" s="69"/>
      <c r="F317" s="69"/>
    </row>
    <row r="318" spans="5:6">
      <c r="E318" s="69"/>
      <c r="F318" s="69"/>
    </row>
    <row r="319" spans="5:6">
      <c r="E319" s="69"/>
      <c r="F319" s="69"/>
    </row>
    <row r="320" spans="5:6">
      <c r="E320" s="69"/>
      <c r="F320" s="69"/>
    </row>
    <row r="321" spans="5:6">
      <c r="E321" s="69"/>
      <c r="F321" s="69"/>
    </row>
    <row r="322" spans="5:6">
      <c r="E322" s="69"/>
      <c r="F322" s="69"/>
    </row>
    <row r="323" spans="5:6">
      <c r="E323" s="69"/>
      <c r="F323" s="69"/>
    </row>
    <row r="324" spans="5:6">
      <c r="E324" s="69"/>
      <c r="F324" s="69"/>
    </row>
    <row r="325" spans="5:6">
      <c r="E325" s="69"/>
      <c r="F325" s="69"/>
    </row>
    <row r="326" spans="5:6">
      <c r="E326" s="69"/>
      <c r="F326" s="69"/>
    </row>
    <row r="327" spans="5:6">
      <c r="E327" s="69"/>
      <c r="F327" s="69"/>
    </row>
    <row r="328" spans="5:6">
      <c r="E328" s="69"/>
      <c r="F328" s="69"/>
    </row>
    <row r="329" spans="5:6">
      <c r="E329" s="69"/>
      <c r="F329" s="69"/>
    </row>
    <row r="330" spans="5:6">
      <c r="E330" s="69"/>
      <c r="F330" s="69"/>
    </row>
    <row r="331" spans="5:6">
      <c r="E331" s="69"/>
      <c r="F331" s="69"/>
    </row>
    <row r="332" spans="5:6">
      <c r="E332" s="69"/>
      <c r="F332" s="69"/>
    </row>
    <row r="333" spans="5:6">
      <c r="E333" s="69"/>
      <c r="F333" s="69"/>
    </row>
    <row r="334" spans="5:6">
      <c r="E334" s="69"/>
      <c r="F334" s="69"/>
    </row>
    <row r="335" spans="5:6">
      <c r="E335" s="69"/>
      <c r="F335" s="69"/>
    </row>
    <row r="336" spans="5:6">
      <c r="E336" s="69"/>
      <c r="F336" s="69"/>
    </row>
    <row r="337" spans="5:6">
      <c r="E337" s="69"/>
      <c r="F337" s="69"/>
    </row>
    <row r="338" spans="5:6">
      <c r="E338" s="69"/>
      <c r="F338" s="69"/>
    </row>
    <row r="339" spans="5:6">
      <c r="E339" s="69"/>
      <c r="F339" s="69"/>
    </row>
    <row r="340" spans="5:6">
      <c r="E340" s="69"/>
      <c r="F340" s="69"/>
    </row>
    <row r="341" spans="5:6">
      <c r="E341" s="69"/>
      <c r="F341" s="69"/>
    </row>
    <row r="342" spans="5:6">
      <c r="E342" s="69"/>
      <c r="F342" s="69"/>
    </row>
    <row r="343" spans="5:6">
      <c r="E343" s="69"/>
      <c r="F343" s="69"/>
    </row>
    <row r="344" spans="5:6">
      <c r="E344" s="69"/>
      <c r="F344" s="69"/>
    </row>
    <row r="345" spans="5:6">
      <c r="E345" s="69"/>
      <c r="F345" s="69"/>
    </row>
    <row r="346" spans="5:6">
      <c r="E346" s="69"/>
      <c r="F346" s="69"/>
    </row>
    <row r="347" spans="5:6">
      <c r="E347" s="69"/>
      <c r="F347" s="69"/>
    </row>
    <row r="348" spans="5:6">
      <c r="E348" s="69"/>
      <c r="F348" s="69"/>
    </row>
    <row r="349" spans="5:6">
      <c r="E349" s="69"/>
      <c r="F349" s="69"/>
    </row>
    <row r="350" spans="5:6">
      <c r="E350" s="69"/>
      <c r="F350" s="69"/>
    </row>
    <row r="351" spans="5:6">
      <c r="E351" s="69"/>
      <c r="F351" s="69"/>
    </row>
    <row r="352" spans="5:6">
      <c r="E352" s="69"/>
      <c r="F352" s="69"/>
    </row>
    <row r="353" spans="5:6">
      <c r="E353" s="69"/>
      <c r="F353" s="69"/>
    </row>
    <row r="354" spans="5:6">
      <c r="E354" s="69"/>
      <c r="F354" s="69"/>
    </row>
    <row r="355" spans="5:6">
      <c r="E355" s="69"/>
      <c r="F355" s="69"/>
    </row>
    <row r="356" spans="5:6">
      <c r="E356" s="69"/>
      <c r="F356" s="69"/>
    </row>
    <row r="357" spans="5:6">
      <c r="E357" s="69"/>
      <c r="F357" s="69"/>
    </row>
    <row r="358" spans="5:6">
      <c r="E358" s="69"/>
      <c r="F358" s="69"/>
    </row>
    <row r="359" spans="5:6">
      <c r="E359" s="69"/>
      <c r="F359" s="69"/>
    </row>
    <row r="360" spans="5:6">
      <c r="E360" s="69"/>
      <c r="F360" s="69"/>
    </row>
    <row r="361" spans="5:6">
      <c r="E361" s="69"/>
      <c r="F361" s="69"/>
    </row>
    <row r="362" spans="5:6">
      <c r="E362" s="69"/>
      <c r="F362" s="69"/>
    </row>
    <row r="363" spans="5:6">
      <c r="E363" s="69"/>
      <c r="F363" s="69"/>
    </row>
    <row r="364" spans="5:6">
      <c r="E364" s="69"/>
      <c r="F364" s="69"/>
    </row>
    <row r="365" spans="5:6">
      <c r="E365" s="69"/>
      <c r="F365" s="69"/>
    </row>
    <row r="366" spans="5:6">
      <c r="E366" s="69"/>
      <c r="F366" s="69"/>
    </row>
    <row r="367" spans="5:6">
      <c r="E367" s="69"/>
      <c r="F367" s="69"/>
    </row>
    <row r="368" spans="5:6">
      <c r="E368" s="69"/>
      <c r="F368" s="69"/>
    </row>
    <row r="369" spans="5:6">
      <c r="E369" s="69"/>
      <c r="F369" s="69"/>
    </row>
    <row r="370" spans="5:6">
      <c r="E370" s="69"/>
      <c r="F370" s="69"/>
    </row>
    <row r="371" spans="5:6">
      <c r="E371" s="69"/>
      <c r="F371" s="69"/>
    </row>
    <row r="372" spans="5:6">
      <c r="E372" s="69"/>
      <c r="F372" s="69"/>
    </row>
    <row r="373" spans="5:6">
      <c r="E373" s="69"/>
      <c r="F373" s="69"/>
    </row>
    <row r="374" spans="5:6">
      <c r="E374" s="69"/>
      <c r="F374" s="69"/>
    </row>
    <row r="375" spans="5:6">
      <c r="E375" s="69"/>
      <c r="F375" s="69"/>
    </row>
    <row r="376" spans="5:6">
      <c r="E376" s="69"/>
      <c r="F376" s="69"/>
    </row>
    <row r="377" spans="5:6">
      <c r="E377" s="69"/>
      <c r="F377" s="69"/>
    </row>
    <row r="378" spans="5:6">
      <c r="E378" s="69"/>
      <c r="F378" s="69"/>
    </row>
    <row r="379" spans="5:6">
      <c r="E379" s="69"/>
      <c r="F379" s="69"/>
    </row>
  </sheetData>
  <mergeCells count="11">
    <mergeCell ref="A48:C48"/>
    <mergeCell ref="A49:C49"/>
    <mergeCell ref="E2:F2"/>
    <mergeCell ref="E3:F3"/>
    <mergeCell ref="E4:F4"/>
    <mergeCell ref="B11:B12"/>
    <mergeCell ref="C11:C12"/>
    <mergeCell ref="D11:D12"/>
    <mergeCell ref="E11:F11"/>
    <mergeCell ref="B8:F8"/>
    <mergeCell ref="E5:F5"/>
  </mergeCells>
  <pageMargins left="0.51181102362204722" right="0.31496062992125984" top="0.55118110236220474" bottom="0.35433070866141736" header="0.31496062992125984" footer="0.31496062992125984"/>
  <pageSetup paperSize="9" scale="9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S675"/>
  <sheetViews>
    <sheetView tabSelected="1" view="pageBreakPreview" topLeftCell="A485" zoomScaleSheetLayoutView="100" workbookViewId="0">
      <selection activeCell="B559" sqref="B559"/>
    </sheetView>
  </sheetViews>
  <sheetFormatPr defaultColWidth="9.109375" defaultRowHeight="16.8"/>
  <cols>
    <col min="1" max="1" width="1" style="134" customWidth="1"/>
    <col min="2" max="2" width="40.5546875" style="131" customWidth="1"/>
    <col min="3" max="3" width="6" style="131" customWidth="1"/>
    <col min="4" max="4" width="5.109375" style="131" customWidth="1"/>
    <col min="5" max="5" width="6.33203125" style="131" customWidth="1"/>
    <col min="6" max="6" width="5.5546875" style="131" customWidth="1"/>
    <col min="7" max="7" width="3.6640625" style="131" customWidth="1"/>
    <col min="8" max="8" width="4.44140625" style="131" customWidth="1"/>
    <col min="9" max="9" width="8.88671875" style="131" customWidth="1"/>
    <col min="10" max="10" width="8.44140625" style="133" customWidth="1"/>
    <col min="11" max="11" width="12.88671875" style="134" customWidth="1"/>
    <col min="12" max="12" width="14" style="134" customWidth="1"/>
    <col min="13" max="13" width="14.109375" style="135" customWidth="1"/>
    <col min="14" max="19" width="9.109375" style="136"/>
    <col min="20" max="16384" width="9.109375" style="134"/>
  </cols>
  <sheetData>
    <row r="1" spans="2:19">
      <c r="K1" s="283" t="s">
        <v>135</v>
      </c>
      <c r="L1" s="283"/>
      <c r="M1" s="283"/>
      <c r="N1" s="283"/>
      <c r="O1" s="283"/>
      <c r="P1" s="283"/>
      <c r="Q1" s="283"/>
    </row>
    <row r="2" spans="2:19">
      <c r="K2" s="283" t="s">
        <v>107</v>
      </c>
      <c r="L2" s="283"/>
      <c r="M2" s="283"/>
      <c r="N2" s="283"/>
      <c r="O2" s="283"/>
      <c r="P2" s="283"/>
      <c r="Q2" s="283"/>
    </row>
    <row r="3" spans="2:19">
      <c r="K3" s="283" t="s">
        <v>108</v>
      </c>
      <c r="L3" s="283"/>
      <c r="M3" s="283"/>
      <c r="N3" s="283"/>
      <c r="O3" s="283"/>
      <c r="P3" s="283"/>
      <c r="Q3" s="283"/>
    </row>
    <row r="4" spans="2:19" ht="16.5" customHeight="1">
      <c r="K4" s="283" t="s">
        <v>466</v>
      </c>
      <c r="L4" s="283"/>
      <c r="M4" s="283"/>
      <c r="N4" s="283"/>
      <c r="O4" s="283"/>
      <c r="P4" s="283"/>
      <c r="Q4" s="283"/>
    </row>
    <row r="8" spans="2:19" s="125" customFormat="1" ht="30.75" customHeight="1">
      <c r="B8" s="282" t="s">
        <v>454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126"/>
      <c r="O8" s="126"/>
      <c r="P8" s="126"/>
      <c r="Q8" s="126"/>
      <c r="R8" s="126"/>
      <c r="S8" s="126"/>
    </row>
    <row r="9" spans="2:19" s="125" customFormat="1">
      <c r="B9" s="282"/>
      <c r="C9" s="282"/>
      <c r="D9" s="282"/>
      <c r="E9" s="282"/>
      <c r="F9" s="282"/>
      <c r="G9" s="282"/>
      <c r="H9" s="282"/>
      <c r="I9" s="282"/>
      <c r="J9" s="282"/>
      <c r="K9" s="142"/>
      <c r="L9" s="281" t="s">
        <v>241</v>
      </c>
      <c r="M9" s="281"/>
      <c r="N9" s="126"/>
      <c r="O9" s="126"/>
      <c r="P9" s="126"/>
      <c r="Q9" s="126"/>
      <c r="R9" s="126"/>
      <c r="S9" s="126"/>
    </row>
    <row r="10" spans="2:19" s="125" customFormat="1">
      <c r="B10" s="257" t="s">
        <v>1</v>
      </c>
      <c r="C10" s="257" t="s">
        <v>57</v>
      </c>
      <c r="D10" s="260" t="s">
        <v>137</v>
      </c>
      <c r="E10" s="260" t="s">
        <v>138</v>
      </c>
      <c r="F10" s="266" t="s">
        <v>139</v>
      </c>
      <c r="G10" s="267"/>
      <c r="H10" s="267"/>
      <c r="I10" s="268"/>
      <c r="J10" s="260" t="s">
        <v>140</v>
      </c>
      <c r="K10" s="263" t="s">
        <v>198</v>
      </c>
      <c r="L10" s="278" t="s">
        <v>3</v>
      </c>
      <c r="M10" s="278"/>
      <c r="N10" s="126"/>
      <c r="O10" s="126"/>
      <c r="P10" s="126"/>
      <c r="Q10" s="126"/>
      <c r="R10" s="126"/>
      <c r="S10" s="126"/>
    </row>
    <row r="11" spans="2:19" s="125" customFormat="1" ht="35.25" customHeight="1">
      <c r="B11" s="258"/>
      <c r="C11" s="258"/>
      <c r="D11" s="261"/>
      <c r="E11" s="261"/>
      <c r="F11" s="269"/>
      <c r="G11" s="270"/>
      <c r="H11" s="270"/>
      <c r="I11" s="271"/>
      <c r="J11" s="261"/>
      <c r="K11" s="264"/>
      <c r="L11" s="279" t="s">
        <v>297</v>
      </c>
      <c r="M11" s="279" t="s">
        <v>453</v>
      </c>
      <c r="N11" s="126"/>
      <c r="O11" s="126"/>
      <c r="P11" s="126"/>
      <c r="Q11" s="126"/>
      <c r="R11" s="126"/>
      <c r="S11" s="126"/>
    </row>
    <row r="12" spans="2:19" s="128" customFormat="1" ht="26.25" customHeight="1">
      <c r="B12" s="259"/>
      <c r="C12" s="259"/>
      <c r="D12" s="262"/>
      <c r="E12" s="262"/>
      <c r="F12" s="272"/>
      <c r="G12" s="273"/>
      <c r="H12" s="273"/>
      <c r="I12" s="274"/>
      <c r="J12" s="262"/>
      <c r="K12" s="265"/>
      <c r="L12" s="280"/>
      <c r="M12" s="280"/>
      <c r="N12" s="127"/>
      <c r="O12" s="127"/>
    </row>
    <row r="13" spans="2:19" s="128" customFormat="1" ht="17.399999999999999">
      <c r="B13" s="250">
        <v>1</v>
      </c>
      <c r="C13" s="129">
        <v>2</v>
      </c>
      <c r="D13" s="130" t="s">
        <v>58</v>
      </c>
      <c r="E13" s="130" t="s">
        <v>59</v>
      </c>
      <c r="F13" s="275" t="s">
        <v>60</v>
      </c>
      <c r="G13" s="276"/>
      <c r="H13" s="276"/>
      <c r="I13" s="277"/>
      <c r="J13" s="130" t="s">
        <v>61</v>
      </c>
      <c r="K13" s="144">
        <v>7</v>
      </c>
      <c r="L13" s="127">
        <v>8</v>
      </c>
      <c r="M13" s="130" t="s">
        <v>164</v>
      </c>
      <c r="N13" s="127"/>
      <c r="O13" s="127"/>
    </row>
    <row r="14" spans="2:19" s="30" customFormat="1" ht="62.4">
      <c r="B14" s="145" t="s">
        <v>112</v>
      </c>
      <c r="C14" s="146" t="s">
        <v>113</v>
      </c>
      <c r="D14" s="146"/>
      <c r="E14" s="146"/>
      <c r="F14" s="147"/>
      <c r="G14" s="147"/>
      <c r="H14" s="147"/>
      <c r="I14" s="147"/>
      <c r="J14" s="146"/>
      <c r="K14" s="148">
        <f>K15+K41+K47</f>
        <v>8885</v>
      </c>
      <c r="L14" s="148">
        <f t="shared" ref="L14:M14" si="0">L15+L41+L47</f>
        <v>6489.99</v>
      </c>
      <c r="M14" s="148">
        <f t="shared" si="0"/>
        <v>5530.0165999999999</v>
      </c>
      <c r="N14" s="149"/>
      <c r="O14" s="149"/>
    </row>
    <row r="15" spans="2:19" s="30" customFormat="1" ht="15.6">
      <c r="B15" s="150" t="s">
        <v>62</v>
      </c>
      <c r="C15" s="151" t="s">
        <v>113</v>
      </c>
      <c r="D15" s="146" t="s">
        <v>63</v>
      </c>
      <c r="E15" s="146"/>
      <c r="F15" s="147"/>
      <c r="G15" s="147"/>
      <c r="H15" s="147"/>
      <c r="I15" s="152"/>
      <c r="J15" s="146"/>
      <c r="K15" s="148">
        <f t="shared" ref="K15:M39" si="1">K16</f>
        <v>735</v>
      </c>
      <c r="L15" s="148">
        <f t="shared" si="1"/>
        <v>789.99</v>
      </c>
      <c r="M15" s="148">
        <f t="shared" si="1"/>
        <v>830.01659999999993</v>
      </c>
      <c r="N15" s="149"/>
      <c r="O15" s="149"/>
    </row>
    <row r="16" spans="2:19" s="30" customFormat="1" ht="31.2">
      <c r="B16" s="153" t="s">
        <v>80</v>
      </c>
      <c r="C16" s="151" t="s">
        <v>113</v>
      </c>
      <c r="D16" s="151" t="s">
        <v>63</v>
      </c>
      <c r="E16" s="151" t="s">
        <v>81</v>
      </c>
      <c r="F16" s="146"/>
      <c r="G16" s="146"/>
      <c r="H16" s="146"/>
      <c r="I16" s="154"/>
      <c r="J16" s="146"/>
      <c r="K16" s="148">
        <f>K17+K23+K28+K32</f>
        <v>735</v>
      </c>
      <c r="L16" s="148">
        <f t="shared" ref="L16:M16" si="2">L17+L23+L28+L32</f>
        <v>789.99</v>
      </c>
      <c r="M16" s="148">
        <f t="shared" si="2"/>
        <v>830.01659999999993</v>
      </c>
      <c r="N16" s="149"/>
      <c r="O16" s="149"/>
    </row>
    <row r="17" spans="2:15" s="161" customFormat="1" ht="78" hidden="1">
      <c r="B17" s="155" t="s">
        <v>204</v>
      </c>
      <c r="C17" s="156" t="s">
        <v>113</v>
      </c>
      <c r="D17" s="156" t="s">
        <v>63</v>
      </c>
      <c r="E17" s="156" t="s">
        <v>81</v>
      </c>
      <c r="F17" s="157" t="s">
        <v>205</v>
      </c>
      <c r="G17" s="157" t="s">
        <v>143</v>
      </c>
      <c r="H17" s="157" t="s">
        <v>144</v>
      </c>
      <c r="I17" s="158" t="s">
        <v>145</v>
      </c>
      <c r="J17" s="157"/>
      <c r="K17" s="159">
        <f>K18</f>
        <v>0</v>
      </c>
      <c r="L17" s="159">
        <f t="shared" ref="L17:M21" si="3">L18</f>
        <v>0</v>
      </c>
      <c r="M17" s="159">
        <f t="shared" si="3"/>
        <v>0</v>
      </c>
      <c r="N17" s="160"/>
      <c r="O17" s="160"/>
    </row>
    <row r="18" spans="2:15" s="30" customFormat="1" ht="78" hidden="1">
      <c r="B18" s="155" t="s">
        <v>253</v>
      </c>
      <c r="C18" s="156" t="s">
        <v>113</v>
      </c>
      <c r="D18" s="156" t="s">
        <v>63</v>
      </c>
      <c r="E18" s="156" t="s">
        <v>81</v>
      </c>
      <c r="F18" s="157" t="s">
        <v>205</v>
      </c>
      <c r="G18" s="157" t="s">
        <v>152</v>
      </c>
      <c r="H18" s="157" t="s">
        <v>144</v>
      </c>
      <c r="I18" s="158" t="s">
        <v>145</v>
      </c>
      <c r="J18" s="146"/>
      <c r="K18" s="159">
        <f>K19</f>
        <v>0</v>
      </c>
      <c r="L18" s="159">
        <f t="shared" si="3"/>
        <v>0</v>
      </c>
      <c r="M18" s="159">
        <f t="shared" si="3"/>
        <v>0</v>
      </c>
      <c r="N18" s="149"/>
      <c r="O18" s="149"/>
    </row>
    <row r="19" spans="2:15" s="30" customFormat="1" ht="46.8" hidden="1">
      <c r="B19" s="155" t="s">
        <v>299</v>
      </c>
      <c r="C19" s="156" t="s">
        <v>113</v>
      </c>
      <c r="D19" s="156" t="s">
        <v>63</v>
      </c>
      <c r="E19" s="156" t="s">
        <v>81</v>
      </c>
      <c r="F19" s="157" t="s">
        <v>205</v>
      </c>
      <c r="G19" s="157" t="s">
        <v>152</v>
      </c>
      <c r="H19" s="157" t="s">
        <v>296</v>
      </c>
      <c r="I19" s="158" t="s">
        <v>145</v>
      </c>
      <c r="J19" s="146"/>
      <c r="K19" s="159">
        <f>K20</f>
        <v>0</v>
      </c>
      <c r="L19" s="159">
        <f t="shared" si="3"/>
        <v>0</v>
      </c>
      <c r="M19" s="159">
        <f t="shared" si="3"/>
        <v>0</v>
      </c>
      <c r="N19" s="149"/>
      <c r="O19" s="149"/>
    </row>
    <row r="20" spans="2:15" s="30" customFormat="1" ht="15.6" hidden="1">
      <c r="B20" s="155" t="s">
        <v>256</v>
      </c>
      <c r="C20" s="156" t="s">
        <v>113</v>
      </c>
      <c r="D20" s="156" t="s">
        <v>63</v>
      </c>
      <c r="E20" s="156" t="s">
        <v>81</v>
      </c>
      <c r="F20" s="157" t="s">
        <v>205</v>
      </c>
      <c r="G20" s="157" t="s">
        <v>152</v>
      </c>
      <c r="H20" s="157" t="s">
        <v>296</v>
      </c>
      <c r="I20" s="158" t="s">
        <v>257</v>
      </c>
      <c r="J20" s="146"/>
      <c r="K20" s="159">
        <f>K21</f>
        <v>0</v>
      </c>
      <c r="L20" s="159">
        <f t="shared" si="3"/>
        <v>0</v>
      </c>
      <c r="M20" s="159">
        <f t="shared" si="3"/>
        <v>0</v>
      </c>
      <c r="N20" s="149"/>
      <c r="O20" s="149"/>
    </row>
    <row r="21" spans="2:15" s="30" customFormat="1" ht="46.8" hidden="1">
      <c r="B21" s="162" t="s">
        <v>199</v>
      </c>
      <c r="C21" s="156" t="s">
        <v>113</v>
      </c>
      <c r="D21" s="156" t="s">
        <v>63</v>
      </c>
      <c r="E21" s="156" t="s">
        <v>81</v>
      </c>
      <c r="F21" s="157" t="s">
        <v>205</v>
      </c>
      <c r="G21" s="157" t="s">
        <v>152</v>
      </c>
      <c r="H21" s="157" t="s">
        <v>296</v>
      </c>
      <c r="I21" s="158" t="s">
        <v>257</v>
      </c>
      <c r="J21" s="157" t="s">
        <v>71</v>
      </c>
      <c r="K21" s="159">
        <f>K22</f>
        <v>0</v>
      </c>
      <c r="L21" s="159">
        <f t="shared" si="3"/>
        <v>0</v>
      </c>
      <c r="M21" s="159">
        <f t="shared" si="3"/>
        <v>0</v>
      </c>
      <c r="N21" s="149"/>
      <c r="O21" s="149"/>
    </row>
    <row r="22" spans="2:15" s="30" customFormat="1" ht="46.8" hidden="1">
      <c r="B22" s="162" t="s">
        <v>72</v>
      </c>
      <c r="C22" s="156" t="s">
        <v>113</v>
      </c>
      <c r="D22" s="156" t="s">
        <v>63</v>
      </c>
      <c r="E22" s="156" t="s">
        <v>81</v>
      </c>
      <c r="F22" s="157" t="s">
        <v>205</v>
      </c>
      <c r="G22" s="157" t="s">
        <v>152</v>
      </c>
      <c r="H22" s="157" t="s">
        <v>296</v>
      </c>
      <c r="I22" s="158" t="s">
        <v>257</v>
      </c>
      <c r="J22" s="157" t="s">
        <v>73</v>
      </c>
      <c r="K22" s="159"/>
      <c r="L22" s="159"/>
      <c r="M22" s="159"/>
      <c r="N22" s="149"/>
      <c r="O22" s="149"/>
    </row>
    <row r="23" spans="2:15" s="30" customFormat="1" ht="31.2">
      <c r="B23" s="155" t="s">
        <v>178</v>
      </c>
      <c r="C23" s="156" t="s">
        <v>113</v>
      </c>
      <c r="D23" s="156" t="s">
        <v>63</v>
      </c>
      <c r="E23" s="156" t="s">
        <v>81</v>
      </c>
      <c r="F23" s="157" t="s">
        <v>179</v>
      </c>
      <c r="G23" s="157" t="s">
        <v>143</v>
      </c>
      <c r="H23" s="157" t="s">
        <v>144</v>
      </c>
      <c r="I23" s="158" t="s">
        <v>145</v>
      </c>
      <c r="J23" s="146"/>
      <c r="K23" s="159">
        <f>K24</f>
        <v>495</v>
      </c>
      <c r="L23" s="159">
        <f t="shared" ref="L23:M26" si="4">L24</f>
        <v>520.03000000000009</v>
      </c>
      <c r="M23" s="159">
        <f t="shared" si="4"/>
        <v>540.03659999999991</v>
      </c>
      <c r="N23" s="149"/>
      <c r="O23" s="149"/>
    </row>
    <row r="24" spans="2:15" s="30" customFormat="1" ht="46.8">
      <c r="B24" s="155" t="s">
        <v>82</v>
      </c>
      <c r="C24" s="156" t="s">
        <v>113</v>
      </c>
      <c r="D24" s="156" t="s">
        <v>63</v>
      </c>
      <c r="E24" s="156" t="s">
        <v>81</v>
      </c>
      <c r="F24" s="157" t="s">
        <v>179</v>
      </c>
      <c r="G24" s="157" t="s">
        <v>59</v>
      </c>
      <c r="H24" s="157" t="s">
        <v>144</v>
      </c>
      <c r="I24" s="158" t="s">
        <v>145</v>
      </c>
      <c r="J24" s="146"/>
      <c r="K24" s="159">
        <f>K25</f>
        <v>495</v>
      </c>
      <c r="L24" s="159">
        <f t="shared" si="4"/>
        <v>520.03000000000009</v>
      </c>
      <c r="M24" s="159">
        <f t="shared" si="4"/>
        <v>540.03659999999991</v>
      </c>
      <c r="N24" s="149"/>
      <c r="O24" s="149"/>
    </row>
    <row r="25" spans="2:15" s="30" customFormat="1" ht="31.2">
      <c r="B25" s="155" t="s">
        <v>242</v>
      </c>
      <c r="C25" s="156" t="s">
        <v>113</v>
      </c>
      <c r="D25" s="156" t="s">
        <v>63</v>
      </c>
      <c r="E25" s="156" t="s">
        <v>81</v>
      </c>
      <c r="F25" s="157" t="s">
        <v>179</v>
      </c>
      <c r="G25" s="157" t="s">
        <v>59</v>
      </c>
      <c r="H25" s="157" t="s">
        <v>144</v>
      </c>
      <c r="I25" s="158" t="s">
        <v>243</v>
      </c>
      <c r="J25" s="157"/>
      <c r="K25" s="159">
        <f>K26</f>
        <v>495</v>
      </c>
      <c r="L25" s="159">
        <f t="shared" si="4"/>
        <v>520.03000000000009</v>
      </c>
      <c r="M25" s="159">
        <f t="shared" si="4"/>
        <v>540.03659999999991</v>
      </c>
      <c r="N25" s="149"/>
      <c r="O25" s="149"/>
    </row>
    <row r="26" spans="2:15" s="30" customFormat="1" ht="46.8">
      <c r="B26" s="162" t="s">
        <v>199</v>
      </c>
      <c r="C26" s="156" t="s">
        <v>113</v>
      </c>
      <c r="D26" s="156" t="s">
        <v>63</v>
      </c>
      <c r="E26" s="156" t="s">
        <v>81</v>
      </c>
      <c r="F26" s="157" t="s">
        <v>179</v>
      </c>
      <c r="G26" s="157" t="s">
        <v>59</v>
      </c>
      <c r="H26" s="157" t="s">
        <v>144</v>
      </c>
      <c r="I26" s="158" t="s">
        <v>243</v>
      </c>
      <c r="J26" s="157" t="s">
        <v>71</v>
      </c>
      <c r="K26" s="159">
        <f>K27</f>
        <v>495</v>
      </c>
      <c r="L26" s="159">
        <f t="shared" si="4"/>
        <v>520.03000000000009</v>
      </c>
      <c r="M26" s="159">
        <f t="shared" si="4"/>
        <v>540.03659999999991</v>
      </c>
      <c r="N26" s="149"/>
      <c r="O26" s="149"/>
    </row>
    <row r="27" spans="2:15" s="30" customFormat="1" ht="46.8">
      <c r="B27" s="162" t="s">
        <v>72</v>
      </c>
      <c r="C27" s="156" t="s">
        <v>113</v>
      </c>
      <c r="D27" s="156" t="s">
        <v>63</v>
      </c>
      <c r="E27" s="156" t="s">
        <v>81</v>
      </c>
      <c r="F27" s="157" t="s">
        <v>179</v>
      </c>
      <c r="G27" s="157" t="s">
        <v>59</v>
      </c>
      <c r="H27" s="157" t="s">
        <v>144</v>
      </c>
      <c r="I27" s="158" t="s">
        <v>243</v>
      </c>
      <c r="J27" s="157" t="s">
        <v>73</v>
      </c>
      <c r="K27" s="159">
        <f>(225+270)</f>
        <v>495</v>
      </c>
      <c r="L27" s="247">
        <f>(495*103.4%)+8.2</f>
        <v>520.03000000000009</v>
      </c>
      <c r="M27" s="247">
        <f>(511.8*103.7%)+9.3</f>
        <v>540.03659999999991</v>
      </c>
      <c r="N27" s="149"/>
      <c r="O27" s="149"/>
    </row>
    <row r="28" spans="2:15" s="30" customFormat="1" ht="46.8" hidden="1">
      <c r="B28" s="162" t="s">
        <v>244</v>
      </c>
      <c r="C28" s="156" t="s">
        <v>113</v>
      </c>
      <c r="D28" s="156" t="s">
        <v>63</v>
      </c>
      <c r="E28" s="156" t="s">
        <v>81</v>
      </c>
      <c r="F28" s="157" t="s">
        <v>245</v>
      </c>
      <c r="G28" s="157" t="s">
        <v>143</v>
      </c>
      <c r="H28" s="157" t="s">
        <v>144</v>
      </c>
      <c r="I28" s="158" t="s">
        <v>145</v>
      </c>
      <c r="J28" s="157"/>
      <c r="K28" s="159">
        <f>K29</f>
        <v>0</v>
      </c>
      <c r="L28" s="159">
        <f t="shared" ref="L28:M30" si="5">L29</f>
        <v>0</v>
      </c>
      <c r="M28" s="159">
        <f t="shared" si="5"/>
        <v>0</v>
      </c>
      <c r="N28" s="149"/>
      <c r="O28" s="149"/>
    </row>
    <row r="29" spans="2:15" s="30" customFormat="1" ht="46.8" hidden="1">
      <c r="B29" s="162" t="s">
        <v>246</v>
      </c>
      <c r="C29" s="156" t="s">
        <v>113</v>
      </c>
      <c r="D29" s="156" t="s">
        <v>63</v>
      </c>
      <c r="E29" s="156" t="s">
        <v>81</v>
      </c>
      <c r="F29" s="157" t="s">
        <v>245</v>
      </c>
      <c r="G29" s="157" t="s">
        <v>143</v>
      </c>
      <c r="H29" s="157" t="s">
        <v>144</v>
      </c>
      <c r="I29" s="158" t="s">
        <v>247</v>
      </c>
      <c r="J29" s="157"/>
      <c r="K29" s="159">
        <f>K30</f>
        <v>0</v>
      </c>
      <c r="L29" s="159">
        <f t="shared" si="5"/>
        <v>0</v>
      </c>
      <c r="M29" s="159">
        <f t="shared" si="5"/>
        <v>0</v>
      </c>
      <c r="N29" s="149"/>
      <c r="O29" s="149"/>
    </row>
    <row r="30" spans="2:15" s="30" customFormat="1" ht="46.8" hidden="1">
      <c r="B30" s="162" t="s">
        <v>148</v>
      </c>
      <c r="C30" s="156" t="s">
        <v>113</v>
      </c>
      <c r="D30" s="156" t="s">
        <v>63</v>
      </c>
      <c r="E30" s="156" t="s">
        <v>81</v>
      </c>
      <c r="F30" s="157" t="s">
        <v>245</v>
      </c>
      <c r="G30" s="157" t="s">
        <v>143</v>
      </c>
      <c r="H30" s="157" t="s">
        <v>144</v>
      </c>
      <c r="I30" s="158" t="s">
        <v>247</v>
      </c>
      <c r="J30" s="157" t="s">
        <v>71</v>
      </c>
      <c r="K30" s="159">
        <f>K31</f>
        <v>0</v>
      </c>
      <c r="L30" s="159">
        <f t="shared" si="5"/>
        <v>0</v>
      </c>
      <c r="M30" s="159">
        <f t="shared" si="5"/>
        <v>0</v>
      </c>
      <c r="N30" s="149"/>
      <c r="O30" s="149"/>
    </row>
    <row r="31" spans="2:15" s="30" customFormat="1" ht="46.8" hidden="1">
      <c r="B31" s="162" t="s">
        <v>72</v>
      </c>
      <c r="C31" s="156" t="s">
        <v>113</v>
      </c>
      <c r="D31" s="156" t="s">
        <v>63</v>
      </c>
      <c r="E31" s="156" t="s">
        <v>81</v>
      </c>
      <c r="F31" s="157" t="s">
        <v>245</v>
      </c>
      <c r="G31" s="157" t="s">
        <v>143</v>
      </c>
      <c r="H31" s="157" t="s">
        <v>144</v>
      </c>
      <c r="I31" s="158" t="s">
        <v>247</v>
      </c>
      <c r="J31" s="157" t="s">
        <v>73</v>
      </c>
      <c r="K31" s="159">
        <f>0</f>
        <v>0</v>
      </c>
      <c r="L31" s="159">
        <f>0</f>
        <v>0</v>
      </c>
      <c r="M31" s="159">
        <f>0</f>
        <v>0</v>
      </c>
      <c r="N31" s="149"/>
      <c r="O31" s="149"/>
    </row>
    <row r="32" spans="2:15" s="161" customFormat="1" ht="31.2">
      <c r="B32" s="163" t="s">
        <v>141</v>
      </c>
      <c r="C32" s="157" t="s">
        <v>113</v>
      </c>
      <c r="D32" s="157" t="s">
        <v>63</v>
      </c>
      <c r="E32" s="157" t="s">
        <v>81</v>
      </c>
      <c r="F32" s="164" t="s">
        <v>142</v>
      </c>
      <c r="G32" s="164" t="s">
        <v>143</v>
      </c>
      <c r="H32" s="164" t="s">
        <v>144</v>
      </c>
      <c r="I32" s="164" t="s">
        <v>145</v>
      </c>
      <c r="J32" s="157"/>
      <c r="K32" s="159">
        <f>K37+K33</f>
        <v>240</v>
      </c>
      <c r="L32" s="159">
        <f t="shared" ref="L32:M32" si="6">L37+L33</f>
        <v>269.95999999999998</v>
      </c>
      <c r="M32" s="159">
        <f t="shared" si="6"/>
        <v>289.98</v>
      </c>
      <c r="N32" s="160"/>
      <c r="O32" s="160"/>
    </row>
    <row r="33" spans="2:15" s="161" customFormat="1" ht="31.2" hidden="1">
      <c r="B33" s="165" t="s">
        <v>248</v>
      </c>
      <c r="C33" s="157" t="s">
        <v>113</v>
      </c>
      <c r="D33" s="157" t="s">
        <v>63</v>
      </c>
      <c r="E33" s="157" t="s">
        <v>81</v>
      </c>
      <c r="F33" s="166" t="s">
        <v>142</v>
      </c>
      <c r="G33" s="166" t="s">
        <v>152</v>
      </c>
      <c r="H33" s="166" t="s">
        <v>144</v>
      </c>
      <c r="I33" s="166" t="s">
        <v>145</v>
      </c>
      <c r="J33" s="157"/>
      <c r="K33" s="159">
        <f>K34</f>
        <v>0</v>
      </c>
      <c r="L33" s="159">
        <f t="shared" ref="L33:M35" si="7">L34</f>
        <v>0</v>
      </c>
      <c r="M33" s="159">
        <f t="shared" si="7"/>
        <v>0</v>
      </c>
      <c r="N33" s="160"/>
      <c r="O33" s="160"/>
    </row>
    <row r="34" spans="2:15" s="161" customFormat="1" ht="15.6" hidden="1">
      <c r="B34" s="165" t="s">
        <v>249</v>
      </c>
      <c r="C34" s="157" t="s">
        <v>113</v>
      </c>
      <c r="D34" s="157" t="s">
        <v>63</v>
      </c>
      <c r="E34" s="157" t="s">
        <v>81</v>
      </c>
      <c r="F34" s="166" t="s">
        <v>142</v>
      </c>
      <c r="G34" s="166" t="s">
        <v>152</v>
      </c>
      <c r="H34" s="166" t="s">
        <v>144</v>
      </c>
      <c r="I34" s="166" t="s">
        <v>250</v>
      </c>
      <c r="J34" s="157"/>
      <c r="K34" s="159">
        <f>K35</f>
        <v>0</v>
      </c>
      <c r="L34" s="159">
        <f t="shared" si="7"/>
        <v>0</v>
      </c>
      <c r="M34" s="159">
        <f t="shared" si="7"/>
        <v>0</v>
      </c>
      <c r="N34" s="160"/>
      <c r="O34" s="160"/>
    </row>
    <row r="35" spans="2:15" s="161" customFormat="1" ht="15.6" hidden="1">
      <c r="B35" s="162" t="s">
        <v>74</v>
      </c>
      <c r="C35" s="157" t="s">
        <v>113</v>
      </c>
      <c r="D35" s="157" t="s">
        <v>63</v>
      </c>
      <c r="E35" s="157" t="s">
        <v>81</v>
      </c>
      <c r="F35" s="166" t="s">
        <v>142</v>
      </c>
      <c r="G35" s="166" t="s">
        <v>152</v>
      </c>
      <c r="H35" s="166" t="s">
        <v>144</v>
      </c>
      <c r="I35" s="166" t="s">
        <v>250</v>
      </c>
      <c r="J35" s="157" t="s">
        <v>75</v>
      </c>
      <c r="K35" s="159">
        <f>K36</f>
        <v>0</v>
      </c>
      <c r="L35" s="159">
        <f t="shared" si="7"/>
        <v>0</v>
      </c>
      <c r="M35" s="159">
        <f t="shared" si="7"/>
        <v>0</v>
      </c>
      <c r="N35" s="160"/>
      <c r="O35" s="160"/>
    </row>
    <row r="36" spans="2:15" s="161" customFormat="1" ht="15.6" hidden="1">
      <c r="B36" s="162" t="s">
        <v>251</v>
      </c>
      <c r="C36" s="157" t="s">
        <v>113</v>
      </c>
      <c r="D36" s="157" t="s">
        <v>63</v>
      </c>
      <c r="E36" s="157" t="s">
        <v>81</v>
      </c>
      <c r="F36" s="166" t="s">
        <v>142</v>
      </c>
      <c r="G36" s="166" t="s">
        <v>152</v>
      </c>
      <c r="H36" s="166" t="s">
        <v>144</v>
      </c>
      <c r="I36" s="166" t="s">
        <v>250</v>
      </c>
      <c r="J36" s="157" t="s">
        <v>252</v>
      </c>
      <c r="K36" s="159">
        <f>(1600+1600-100)-2300-300-500</f>
        <v>0</v>
      </c>
      <c r="L36" s="159">
        <f t="shared" ref="L36:M36" si="8">(1600+1600-100)-2300-300-500</f>
        <v>0</v>
      </c>
      <c r="M36" s="159">
        <f t="shared" si="8"/>
        <v>0</v>
      </c>
      <c r="N36" s="160"/>
      <c r="O36" s="160"/>
    </row>
    <row r="37" spans="2:15" s="161" customFormat="1" ht="15.6">
      <c r="B37" s="163" t="s">
        <v>146</v>
      </c>
      <c r="C37" s="157" t="s">
        <v>113</v>
      </c>
      <c r="D37" s="157" t="s">
        <v>63</v>
      </c>
      <c r="E37" s="157" t="s">
        <v>81</v>
      </c>
      <c r="F37" s="164" t="s">
        <v>142</v>
      </c>
      <c r="G37" s="164" t="s">
        <v>58</v>
      </c>
      <c r="H37" s="164" t="s">
        <v>144</v>
      </c>
      <c r="I37" s="164" t="s">
        <v>145</v>
      </c>
      <c r="J37" s="157"/>
      <c r="K37" s="159">
        <f t="shared" si="1"/>
        <v>240</v>
      </c>
      <c r="L37" s="159">
        <f t="shared" si="1"/>
        <v>269.95999999999998</v>
      </c>
      <c r="M37" s="159">
        <f t="shared" si="1"/>
        <v>289.98</v>
      </c>
      <c r="N37" s="160"/>
      <c r="O37" s="160"/>
    </row>
    <row r="38" spans="2:15" s="161" customFormat="1" ht="31.2">
      <c r="B38" s="162" t="s">
        <v>114</v>
      </c>
      <c r="C38" s="157" t="s">
        <v>113</v>
      </c>
      <c r="D38" s="157" t="s">
        <v>63</v>
      </c>
      <c r="E38" s="157" t="s">
        <v>81</v>
      </c>
      <c r="F38" s="164" t="s">
        <v>142</v>
      </c>
      <c r="G38" s="164" t="s">
        <v>58</v>
      </c>
      <c r="H38" s="164" t="s">
        <v>144</v>
      </c>
      <c r="I38" s="164" t="s">
        <v>147</v>
      </c>
      <c r="J38" s="157"/>
      <c r="K38" s="159">
        <f t="shared" si="1"/>
        <v>240</v>
      </c>
      <c r="L38" s="159">
        <f t="shared" si="1"/>
        <v>269.95999999999998</v>
      </c>
      <c r="M38" s="159">
        <f t="shared" si="1"/>
        <v>289.98</v>
      </c>
      <c r="N38" s="160"/>
      <c r="O38" s="160"/>
    </row>
    <row r="39" spans="2:15" s="161" customFormat="1" ht="46.8">
      <c r="B39" s="162" t="s">
        <v>199</v>
      </c>
      <c r="C39" s="157" t="s">
        <v>113</v>
      </c>
      <c r="D39" s="157" t="s">
        <v>63</v>
      </c>
      <c r="E39" s="157" t="s">
        <v>81</v>
      </c>
      <c r="F39" s="164" t="s">
        <v>142</v>
      </c>
      <c r="G39" s="164" t="s">
        <v>58</v>
      </c>
      <c r="H39" s="164" t="s">
        <v>144</v>
      </c>
      <c r="I39" s="164" t="s">
        <v>147</v>
      </c>
      <c r="J39" s="167">
        <v>200</v>
      </c>
      <c r="K39" s="159">
        <f t="shared" si="1"/>
        <v>240</v>
      </c>
      <c r="L39" s="159">
        <f t="shared" si="1"/>
        <v>269.95999999999998</v>
      </c>
      <c r="M39" s="159">
        <f t="shared" si="1"/>
        <v>289.98</v>
      </c>
      <c r="N39" s="160"/>
      <c r="O39" s="160"/>
    </row>
    <row r="40" spans="2:15" s="161" customFormat="1" ht="46.8">
      <c r="B40" s="162" t="s">
        <v>72</v>
      </c>
      <c r="C40" s="157" t="s">
        <v>113</v>
      </c>
      <c r="D40" s="157" t="s">
        <v>63</v>
      </c>
      <c r="E40" s="157" t="s">
        <v>81</v>
      </c>
      <c r="F40" s="164" t="s">
        <v>142</v>
      </c>
      <c r="G40" s="164" t="s">
        <v>58</v>
      </c>
      <c r="H40" s="164" t="s">
        <v>144</v>
      </c>
      <c r="I40" s="164" t="s">
        <v>147</v>
      </c>
      <c r="J40" s="157" t="s">
        <v>73</v>
      </c>
      <c r="K40" s="159">
        <f>240</f>
        <v>240</v>
      </c>
      <c r="L40" s="247">
        <f>(240*103.4%)+21.8</f>
        <v>269.95999999999998</v>
      </c>
      <c r="M40" s="247">
        <f>(270*103.4%)+10.8</f>
        <v>289.98</v>
      </c>
      <c r="N40" s="160"/>
      <c r="O40" s="160"/>
    </row>
    <row r="41" spans="2:15" s="161" customFormat="1" ht="15.6">
      <c r="B41" s="168" t="s">
        <v>121</v>
      </c>
      <c r="C41" s="169" t="s">
        <v>113</v>
      </c>
      <c r="D41" s="169" t="s">
        <v>64</v>
      </c>
      <c r="E41" s="169"/>
      <c r="F41" s="169"/>
      <c r="G41" s="169"/>
      <c r="H41" s="169"/>
      <c r="I41" s="169"/>
      <c r="J41" s="169"/>
      <c r="K41" s="148">
        <f>K42</f>
        <v>50</v>
      </c>
      <c r="L41" s="148">
        <f t="shared" ref="L41:M45" si="9">L42</f>
        <v>100</v>
      </c>
      <c r="M41" s="148">
        <f t="shared" si="9"/>
        <v>100</v>
      </c>
      <c r="N41" s="160"/>
      <c r="O41" s="160"/>
    </row>
    <row r="42" spans="2:15" s="161" customFormat="1" ht="31.2">
      <c r="B42" s="168" t="s">
        <v>300</v>
      </c>
      <c r="C42" s="169" t="s">
        <v>113</v>
      </c>
      <c r="D42" s="169" t="s">
        <v>64</v>
      </c>
      <c r="E42" s="169" t="s">
        <v>125</v>
      </c>
      <c r="F42" s="169"/>
      <c r="G42" s="169"/>
      <c r="H42" s="169"/>
      <c r="I42" s="169"/>
      <c r="J42" s="169"/>
      <c r="K42" s="148">
        <f>K43</f>
        <v>50</v>
      </c>
      <c r="L42" s="148">
        <f t="shared" si="9"/>
        <v>100</v>
      </c>
      <c r="M42" s="148">
        <f t="shared" si="9"/>
        <v>100</v>
      </c>
      <c r="N42" s="160"/>
      <c r="O42" s="160"/>
    </row>
    <row r="43" spans="2:15" s="161" customFormat="1" ht="46.8">
      <c r="B43" s="170" t="s">
        <v>244</v>
      </c>
      <c r="C43" s="171" t="s">
        <v>113</v>
      </c>
      <c r="D43" s="171" t="s">
        <v>64</v>
      </c>
      <c r="E43" s="171" t="s">
        <v>125</v>
      </c>
      <c r="F43" s="172" t="s">
        <v>245</v>
      </c>
      <c r="G43" s="172" t="s">
        <v>143</v>
      </c>
      <c r="H43" s="172" t="s">
        <v>144</v>
      </c>
      <c r="I43" s="172" t="s">
        <v>145</v>
      </c>
      <c r="J43" s="171"/>
      <c r="K43" s="173">
        <f>K44</f>
        <v>50</v>
      </c>
      <c r="L43" s="173">
        <f t="shared" si="9"/>
        <v>100</v>
      </c>
      <c r="M43" s="173">
        <f t="shared" si="9"/>
        <v>100</v>
      </c>
      <c r="N43" s="160"/>
      <c r="O43" s="160"/>
    </row>
    <row r="44" spans="2:15" s="161" customFormat="1" ht="31.2">
      <c r="B44" s="170" t="s">
        <v>301</v>
      </c>
      <c r="C44" s="171" t="s">
        <v>113</v>
      </c>
      <c r="D44" s="171" t="s">
        <v>64</v>
      </c>
      <c r="E44" s="171" t="s">
        <v>125</v>
      </c>
      <c r="F44" s="172" t="s">
        <v>245</v>
      </c>
      <c r="G44" s="172" t="s">
        <v>143</v>
      </c>
      <c r="H44" s="172" t="s">
        <v>144</v>
      </c>
      <c r="I44" s="172" t="s">
        <v>302</v>
      </c>
      <c r="J44" s="171"/>
      <c r="K44" s="173">
        <f>K45</f>
        <v>50</v>
      </c>
      <c r="L44" s="173">
        <f t="shared" si="9"/>
        <v>100</v>
      </c>
      <c r="M44" s="173">
        <f t="shared" si="9"/>
        <v>100</v>
      </c>
      <c r="N44" s="160"/>
      <c r="O44" s="160"/>
    </row>
    <row r="45" spans="2:15" s="161" customFormat="1" ht="46.8">
      <c r="B45" s="170" t="s">
        <v>199</v>
      </c>
      <c r="C45" s="171" t="s">
        <v>113</v>
      </c>
      <c r="D45" s="171" t="s">
        <v>64</v>
      </c>
      <c r="E45" s="171" t="s">
        <v>125</v>
      </c>
      <c r="F45" s="172" t="s">
        <v>245</v>
      </c>
      <c r="G45" s="172" t="s">
        <v>143</v>
      </c>
      <c r="H45" s="172" t="s">
        <v>144</v>
      </c>
      <c r="I45" s="172" t="s">
        <v>302</v>
      </c>
      <c r="J45" s="171" t="s">
        <v>71</v>
      </c>
      <c r="K45" s="173">
        <f>K46</f>
        <v>50</v>
      </c>
      <c r="L45" s="173">
        <f t="shared" si="9"/>
        <v>100</v>
      </c>
      <c r="M45" s="173">
        <f t="shared" si="9"/>
        <v>100</v>
      </c>
      <c r="N45" s="160"/>
      <c r="O45" s="160"/>
    </row>
    <row r="46" spans="2:15" s="161" customFormat="1" ht="46.8">
      <c r="B46" s="170" t="s">
        <v>72</v>
      </c>
      <c r="C46" s="171" t="s">
        <v>113</v>
      </c>
      <c r="D46" s="171" t="s">
        <v>64</v>
      </c>
      <c r="E46" s="171" t="s">
        <v>125</v>
      </c>
      <c r="F46" s="172" t="s">
        <v>245</v>
      </c>
      <c r="G46" s="172" t="s">
        <v>143</v>
      </c>
      <c r="H46" s="172" t="s">
        <v>144</v>
      </c>
      <c r="I46" s="172" t="s">
        <v>302</v>
      </c>
      <c r="J46" s="171" t="s">
        <v>73</v>
      </c>
      <c r="K46" s="173">
        <f>50</f>
        <v>50</v>
      </c>
      <c r="L46" s="248">
        <f>100</f>
        <v>100</v>
      </c>
      <c r="M46" s="248">
        <f>100</f>
        <v>100</v>
      </c>
      <c r="N46" s="160"/>
      <c r="O46" s="160"/>
    </row>
    <row r="47" spans="2:15" s="30" customFormat="1" ht="15.6">
      <c r="B47" s="150" t="s">
        <v>89</v>
      </c>
      <c r="C47" s="154" t="s">
        <v>113</v>
      </c>
      <c r="D47" s="146" t="s">
        <v>90</v>
      </c>
      <c r="E47" s="146"/>
      <c r="F47" s="146"/>
      <c r="G47" s="146"/>
      <c r="H47" s="146"/>
      <c r="I47" s="146"/>
      <c r="J47" s="146"/>
      <c r="K47" s="148">
        <f>K48+K69</f>
        <v>8100</v>
      </c>
      <c r="L47" s="148">
        <f t="shared" ref="L47:M47" si="10">L48+L69</f>
        <v>5600</v>
      </c>
      <c r="M47" s="148">
        <f t="shared" si="10"/>
        <v>4600</v>
      </c>
      <c r="N47" s="149"/>
      <c r="O47" s="149"/>
    </row>
    <row r="48" spans="2:15" s="30" customFormat="1" ht="15.6">
      <c r="B48" s="174" t="s">
        <v>149</v>
      </c>
      <c r="C48" s="146" t="s">
        <v>113</v>
      </c>
      <c r="D48" s="146" t="s">
        <v>90</v>
      </c>
      <c r="E48" s="146" t="s">
        <v>63</v>
      </c>
      <c r="F48" s="175"/>
      <c r="G48" s="175"/>
      <c r="H48" s="175"/>
      <c r="I48" s="175"/>
      <c r="J48" s="175"/>
      <c r="K48" s="148">
        <f>K49+K55+K62</f>
        <v>1600</v>
      </c>
      <c r="L48" s="148">
        <f t="shared" ref="L48:M48" si="11">L49+L55+L62</f>
        <v>1600</v>
      </c>
      <c r="M48" s="148">
        <f t="shared" si="11"/>
        <v>1600</v>
      </c>
      <c r="N48" s="149"/>
      <c r="O48" s="149"/>
    </row>
    <row r="49" spans="2:15" s="30" customFormat="1" ht="78" hidden="1">
      <c r="B49" s="176" t="s">
        <v>204</v>
      </c>
      <c r="C49" s="157" t="s">
        <v>113</v>
      </c>
      <c r="D49" s="157" t="s">
        <v>90</v>
      </c>
      <c r="E49" s="157" t="s">
        <v>63</v>
      </c>
      <c r="F49" s="157" t="s">
        <v>205</v>
      </c>
      <c r="G49" s="157" t="s">
        <v>143</v>
      </c>
      <c r="H49" s="157" t="s">
        <v>144</v>
      </c>
      <c r="I49" s="157" t="s">
        <v>145</v>
      </c>
      <c r="J49" s="177"/>
      <c r="K49" s="159">
        <f>K50</f>
        <v>0</v>
      </c>
      <c r="L49" s="159">
        <f t="shared" ref="L49:M53" si="12">L50</f>
        <v>0</v>
      </c>
      <c r="M49" s="159">
        <f t="shared" si="12"/>
        <v>0</v>
      </c>
      <c r="N49" s="149"/>
      <c r="O49" s="149"/>
    </row>
    <row r="50" spans="2:15" s="30" customFormat="1" ht="78" hidden="1">
      <c r="B50" s="176" t="s">
        <v>253</v>
      </c>
      <c r="C50" s="157" t="s">
        <v>113</v>
      </c>
      <c r="D50" s="157" t="s">
        <v>90</v>
      </c>
      <c r="E50" s="157" t="s">
        <v>63</v>
      </c>
      <c r="F50" s="157" t="s">
        <v>205</v>
      </c>
      <c r="G50" s="157" t="s">
        <v>152</v>
      </c>
      <c r="H50" s="157" t="s">
        <v>144</v>
      </c>
      <c r="I50" s="157" t="s">
        <v>145</v>
      </c>
      <c r="J50" s="177"/>
      <c r="K50" s="159">
        <f>K51</f>
        <v>0</v>
      </c>
      <c r="L50" s="159">
        <f t="shared" si="12"/>
        <v>0</v>
      </c>
      <c r="M50" s="159">
        <f t="shared" si="12"/>
        <v>0</v>
      </c>
      <c r="N50" s="149"/>
      <c r="O50" s="149"/>
    </row>
    <row r="51" spans="2:15" s="30" customFormat="1" ht="62.4" hidden="1">
      <c r="B51" s="176" t="s">
        <v>254</v>
      </c>
      <c r="C51" s="157" t="s">
        <v>113</v>
      </c>
      <c r="D51" s="157" t="s">
        <v>90</v>
      </c>
      <c r="E51" s="157" t="s">
        <v>63</v>
      </c>
      <c r="F51" s="157" t="s">
        <v>205</v>
      </c>
      <c r="G51" s="157" t="s">
        <v>152</v>
      </c>
      <c r="H51" s="157" t="s">
        <v>255</v>
      </c>
      <c r="I51" s="157" t="s">
        <v>145</v>
      </c>
      <c r="J51" s="177"/>
      <c r="K51" s="159">
        <f>K52</f>
        <v>0</v>
      </c>
      <c r="L51" s="159">
        <f t="shared" si="12"/>
        <v>0</v>
      </c>
      <c r="M51" s="159">
        <f t="shared" si="12"/>
        <v>0</v>
      </c>
      <c r="N51" s="149"/>
      <c r="O51" s="149"/>
    </row>
    <row r="52" spans="2:15" s="30" customFormat="1" ht="15.6" hidden="1">
      <c r="B52" s="176" t="s">
        <v>256</v>
      </c>
      <c r="C52" s="157" t="s">
        <v>113</v>
      </c>
      <c r="D52" s="157" t="s">
        <v>90</v>
      </c>
      <c r="E52" s="157" t="s">
        <v>63</v>
      </c>
      <c r="F52" s="157" t="s">
        <v>205</v>
      </c>
      <c r="G52" s="157" t="s">
        <v>152</v>
      </c>
      <c r="H52" s="157" t="s">
        <v>255</v>
      </c>
      <c r="I52" s="157" t="s">
        <v>257</v>
      </c>
      <c r="J52" s="177"/>
      <c r="K52" s="159">
        <f>K53</f>
        <v>0</v>
      </c>
      <c r="L52" s="159">
        <f t="shared" si="12"/>
        <v>0</v>
      </c>
      <c r="M52" s="159">
        <f t="shared" si="12"/>
        <v>0</v>
      </c>
      <c r="N52" s="149"/>
      <c r="O52" s="149"/>
    </row>
    <row r="53" spans="2:15" s="30" customFormat="1" ht="46.8" hidden="1">
      <c r="B53" s="162" t="s">
        <v>148</v>
      </c>
      <c r="C53" s="157" t="s">
        <v>113</v>
      </c>
      <c r="D53" s="157" t="s">
        <v>90</v>
      </c>
      <c r="E53" s="157" t="s">
        <v>63</v>
      </c>
      <c r="F53" s="157" t="s">
        <v>205</v>
      </c>
      <c r="G53" s="157" t="s">
        <v>152</v>
      </c>
      <c r="H53" s="157" t="s">
        <v>255</v>
      </c>
      <c r="I53" s="157" t="s">
        <v>257</v>
      </c>
      <c r="J53" s="167">
        <v>200</v>
      </c>
      <c r="K53" s="159">
        <f>K54</f>
        <v>0</v>
      </c>
      <c r="L53" s="159">
        <f t="shared" si="12"/>
        <v>0</v>
      </c>
      <c r="M53" s="159">
        <f t="shared" si="12"/>
        <v>0</v>
      </c>
      <c r="N53" s="149"/>
      <c r="O53" s="149"/>
    </row>
    <row r="54" spans="2:15" s="30" customFormat="1" ht="46.8" hidden="1">
      <c r="B54" s="162" t="s">
        <v>72</v>
      </c>
      <c r="C54" s="157" t="s">
        <v>113</v>
      </c>
      <c r="D54" s="157" t="s">
        <v>90</v>
      </c>
      <c r="E54" s="157" t="s">
        <v>63</v>
      </c>
      <c r="F54" s="157" t="s">
        <v>205</v>
      </c>
      <c r="G54" s="157" t="s">
        <v>152</v>
      </c>
      <c r="H54" s="157" t="s">
        <v>255</v>
      </c>
      <c r="I54" s="157" t="s">
        <v>257</v>
      </c>
      <c r="J54" s="157" t="s">
        <v>73</v>
      </c>
      <c r="K54" s="159">
        <f>0</f>
        <v>0</v>
      </c>
      <c r="L54" s="159">
        <f>0</f>
        <v>0</v>
      </c>
      <c r="M54" s="159">
        <f>0</f>
        <v>0</v>
      </c>
      <c r="N54" s="149"/>
      <c r="O54" s="149"/>
    </row>
    <row r="55" spans="2:15" s="30" customFormat="1" ht="78" hidden="1">
      <c r="B55" s="178" t="s">
        <v>258</v>
      </c>
      <c r="C55" s="146" t="s">
        <v>113</v>
      </c>
      <c r="D55" s="157" t="s">
        <v>90</v>
      </c>
      <c r="E55" s="157" t="s">
        <v>63</v>
      </c>
      <c r="F55" s="157">
        <v>74</v>
      </c>
      <c r="G55" s="157" t="s">
        <v>143</v>
      </c>
      <c r="H55" s="157" t="s">
        <v>144</v>
      </c>
      <c r="I55" s="157" t="s">
        <v>145</v>
      </c>
      <c r="J55" s="157"/>
      <c r="K55" s="159">
        <f>K56</f>
        <v>0</v>
      </c>
      <c r="L55" s="159">
        <f t="shared" ref="L55:M59" si="13">L56</f>
        <v>0</v>
      </c>
      <c r="M55" s="159">
        <f t="shared" si="13"/>
        <v>0</v>
      </c>
      <c r="N55" s="149"/>
      <c r="O55" s="149"/>
    </row>
    <row r="56" spans="2:15" s="30" customFormat="1" ht="46.8" hidden="1">
      <c r="B56" s="178" t="s">
        <v>259</v>
      </c>
      <c r="C56" s="157" t="s">
        <v>113</v>
      </c>
      <c r="D56" s="157" t="s">
        <v>90</v>
      </c>
      <c r="E56" s="157" t="s">
        <v>63</v>
      </c>
      <c r="F56" s="157" t="s">
        <v>260</v>
      </c>
      <c r="G56" s="157" t="s">
        <v>152</v>
      </c>
      <c r="H56" s="157" t="s">
        <v>144</v>
      </c>
      <c r="I56" s="157" t="s">
        <v>145</v>
      </c>
      <c r="J56" s="157"/>
      <c r="K56" s="159">
        <f>K57</f>
        <v>0</v>
      </c>
      <c r="L56" s="159">
        <f t="shared" si="13"/>
        <v>0</v>
      </c>
      <c r="M56" s="159">
        <f t="shared" si="13"/>
        <v>0</v>
      </c>
      <c r="N56" s="149"/>
      <c r="O56" s="149"/>
    </row>
    <row r="57" spans="2:15" s="30" customFormat="1" ht="62.4" hidden="1">
      <c r="B57" s="178" t="s">
        <v>261</v>
      </c>
      <c r="C57" s="157" t="s">
        <v>113</v>
      </c>
      <c r="D57" s="157" t="s">
        <v>90</v>
      </c>
      <c r="E57" s="157" t="s">
        <v>63</v>
      </c>
      <c r="F57" s="157" t="s">
        <v>260</v>
      </c>
      <c r="G57" s="157" t="s">
        <v>152</v>
      </c>
      <c r="H57" s="157" t="s">
        <v>63</v>
      </c>
      <c r="I57" s="157" t="s">
        <v>145</v>
      </c>
      <c r="J57" s="157"/>
      <c r="K57" s="159">
        <f>K58</f>
        <v>0</v>
      </c>
      <c r="L57" s="159">
        <f t="shared" si="13"/>
        <v>0</v>
      </c>
      <c r="M57" s="159">
        <f t="shared" si="13"/>
        <v>0</v>
      </c>
      <c r="N57" s="149"/>
      <c r="O57" s="149"/>
    </row>
    <row r="58" spans="2:15" s="30" customFormat="1" ht="15.6" hidden="1">
      <c r="B58" s="178" t="s">
        <v>256</v>
      </c>
      <c r="C58" s="157" t="s">
        <v>113</v>
      </c>
      <c r="D58" s="157" t="s">
        <v>90</v>
      </c>
      <c r="E58" s="157" t="s">
        <v>63</v>
      </c>
      <c r="F58" s="157" t="s">
        <v>260</v>
      </c>
      <c r="G58" s="157" t="s">
        <v>152</v>
      </c>
      <c r="H58" s="157" t="s">
        <v>63</v>
      </c>
      <c r="I58" s="157" t="s">
        <v>257</v>
      </c>
      <c r="J58" s="157"/>
      <c r="K58" s="159">
        <f>K59</f>
        <v>0</v>
      </c>
      <c r="L58" s="159">
        <f t="shared" si="13"/>
        <v>0</v>
      </c>
      <c r="M58" s="159">
        <f t="shared" si="13"/>
        <v>0</v>
      </c>
      <c r="N58" s="149"/>
      <c r="O58" s="149"/>
    </row>
    <row r="59" spans="2:15" s="30" customFormat="1" ht="46.8" hidden="1">
      <c r="B59" s="162" t="s">
        <v>148</v>
      </c>
      <c r="C59" s="157" t="s">
        <v>113</v>
      </c>
      <c r="D59" s="157" t="s">
        <v>90</v>
      </c>
      <c r="E59" s="157" t="s">
        <v>63</v>
      </c>
      <c r="F59" s="157" t="s">
        <v>260</v>
      </c>
      <c r="G59" s="157" t="s">
        <v>152</v>
      </c>
      <c r="H59" s="157" t="s">
        <v>63</v>
      </c>
      <c r="I59" s="157" t="s">
        <v>257</v>
      </c>
      <c r="J59" s="157" t="s">
        <v>71</v>
      </c>
      <c r="K59" s="159">
        <f>K60</f>
        <v>0</v>
      </c>
      <c r="L59" s="159">
        <f t="shared" si="13"/>
        <v>0</v>
      </c>
      <c r="M59" s="159">
        <f t="shared" si="13"/>
        <v>0</v>
      </c>
      <c r="N59" s="149"/>
      <c r="O59" s="149"/>
    </row>
    <row r="60" spans="2:15" s="30" customFormat="1" ht="46.8" hidden="1">
      <c r="B60" s="162" t="s">
        <v>72</v>
      </c>
      <c r="C60" s="157" t="s">
        <v>113</v>
      </c>
      <c r="D60" s="157" t="s">
        <v>90</v>
      </c>
      <c r="E60" s="157" t="s">
        <v>63</v>
      </c>
      <c r="F60" s="157" t="s">
        <v>260</v>
      </c>
      <c r="G60" s="157" t="s">
        <v>152</v>
      </c>
      <c r="H60" s="157" t="s">
        <v>63</v>
      </c>
      <c r="I60" s="157" t="s">
        <v>257</v>
      </c>
      <c r="J60" s="157" t="s">
        <v>73</v>
      </c>
      <c r="K60" s="159">
        <f>0</f>
        <v>0</v>
      </c>
      <c r="L60" s="159">
        <f>0</f>
        <v>0</v>
      </c>
      <c r="M60" s="159">
        <f>0</f>
        <v>0</v>
      </c>
      <c r="N60" s="149"/>
      <c r="O60" s="149"/>
    </row>
    <row r="61" spans="2:15" s="161" customFormat="1" ht="46.8">
      <c r="B61" s="179" t="s">
        <v>115</v>
      </c>
      <c r="C61" s="157" t="s">
        <v>113</v>
      </c>
      <c r="D61" s="157" t="s">
        <v>90</v>
      </c>
      <c r="E61" s="157" t="s">
        <v>63</v>
      </c>
      <c r="F61" s="164" t="s">
        <v>150</v>
      </c>
      <c r="G61" s="164" t="s">
        <v>143</v>
      </c>
      <c r="H61" s="164" t="s">
        <v>144</v>
      </c>
      <c r="I61" s="164" t="s">
        <v>145</v>
      </c>
      <c r="J61" s="177"/>
      <c r="K61" s="159">
        <f>K62</f>
        <v>1600</v>
      </c>
      <c r="L61" s="159">
        <f t="shared" ref="L61:M61" si="14">L62</f>
        <v>1600</v>
      </c>
      <c r="M61" s="159">
        <f t="shared" si="14"/>
        <v>1600</v>
      </c>
      <c r="N61" s="160"/>
      <c r="O61" s="160"/>
    </row>
    <row r="62" spans="2:15" s="161" customFormat="1" ht="31.2">
      <c r="B62" s="180" t="s">
        <v>151</v>
      </c>
      <c r="C62" s="157" t="s">
        <v>113</v>
      </c>
      <c r="D62" s="181" t="s">
        <v>90</v>
      </c>
      <c r="E62" s="181" t="s">
        <v>63</v>
      </c>
      <c r="F62" s="164" t="s">
        <v>150</v>
      </c>
      <c r="G62" s="164" t="s">
        <v>152</v>
      </c>
      <c r="H62" s="164" t="s">
        <v>144</v>
      </c>
      <c r="I62" s="164" t="s">
        <v>145</v>
      </c>
      <c r="J62" s="181"/>
      <c r="K62" s="182">
        <f>K63+K66</f>
        <v>1600</v>
      </c>
      <c r="L62" s="182">
        <f t="shared" ref="L62:M62" si="15">L63+L66</f>
        <v>1600</v>
      </c>
      <c r="M62" s="182">
        <f t="shared" si="15"/>
        <v>1600</v>
      </c>
      <c r="N62" s="160"/>
      <c r="O62" s="160"/>
    </row>
    <row r="63" spans="2:15" s="161" customFormat="1" ht="31.2">
      <c r="B63" s="162" t="s">
        <v>153</v>
      </c>
      <c r="C63" s="157" t="s">
        <v>113</v>
      </c>
      <c r="D63" s="157" t="s">
        <v>90</v>
      </c>
      <c r="E63" s="157" t="s">
        <v>63</v>
      </c>
      <c r="F63" s="164" t="s">
        <v>150</v>
      </c>
      <c r="G63" s="164" t="s">
        <v>152</v>
      </c>
      <c r="H63" s="164" t="s">
        <v>144</v>
      </c>
      <c r="I63" s="164" t="s">
        <v>154</v>
      </c>
      <c r="J63" s="157"/>
      <c r="K63" s="159">
        <f>K64</f>
        <v>1000</v>
      </c>
      <c r="L63" s="159">
        <f t="shared" ref="L63:M64" si="16">L64</f>
        <v>1000</v>
      </c>
      <c r="M63" s="159">
        <f t="shared" si="16"/>
        <v>1000</v>
      </c>
      <c r="N63" s="160"/>
      <c r="O63" s="160"/>
    </row>
    <row r="64" spans="2:15" s="161" customFormat="1" ht="46.8">
      <c r="B64" s="162" t="s">
        <v>199</v>
      </c>
      <c r="C64" s="157" t="s">
        <v>113</v>
      </c>
      <c r="D64" s="157" t="s">
        <v>90</v>
      </c>
      <c r="E64" s="157" t="s">
        <v>63</v>
      </c>
      <c r="F64" s="164" t="s">
        <v>150</v>
      </c>
      <c r="G64" s="164" t="s">
        <v>152</v>
      </c>
      <c r="H64" s="164" t="s">
        <v>144</v>
      </c>
      <c r="I64" s="164" t="s">
        <v>154</v>
      </c>
      <c r="J64" s="157" t="s">
        <v>71</v>
      </c>
      <c r="K64" s="159">
        <f>K65</f>
        <v>1000</v>
      </c>
      <c r="L64" s="159">
        <f t="shared" si="16"/>
        <v>1000</v>
      </c>
      <c r="M64" s="159">
        <f t="shared" si="16"/>
        <v>1000</v>
      </c>
      <c r="N64" s="160"/>
      <c r="O64" s="160"/>
    </row>
    <row r="65" spans="2:15" s="161" customFormat="1" ht="46.8">
      <c r="B65" s="162" t="s">
        <v>72</v>
      </c>
      <c r="C65" s="157" t="s">
        <v>113</v>
      </c>
      <c r="D65" s="157" t="s">
        <v>90</v>
      </c>
      <c r="E65" s="157" t="s">
        <v>63</v>
      </c>
      <c r="F65" s="164" t="s">
        <v>150</v>
      </c>
      <c r="G65" s="164" t="s">
        <v>152</v>
      </c>
      <c r="H65" s="164" t="s">
        <v>144</v>
      </c>
      <c r="I65" s="164" t="s">
        <v>154</v>
      </c>
      <c r="J65" s="157" t="s">
        <v>73</v>
      </c>
      <c r="K65" s="159">
        <f>1000</f>
        <v>1000</v>
      </c>
      <c r="L65" s="159">
        <f>1000</f>
        <v>1000</v>
      </c>
      <c r="M65" s="159">
        <f>1000</f>
        <v>1000</v>
      </c>
      <c r="N65" s="160"/>
      <c r="O65" s="160"/>
    </row>
    <row r="66" spans="2:15" s="161" customFormat="1" ht="78">
      <c r="B66" s="162" t="s">
        <v>155</v>
      </c>
      <c r="C66" s="157" t="s">
        <v>113</v>
      </c>
      <c r="D66" s="157" t="s">
        <v>90</v>
      </c>
      <c r="E66" s="157" t="s">
        <v>63</v>
      </c>
      <c r="F66" s="164" t="s">
        <v>150</v>
      </c>
      <c r="G66" s="164" t="s">
        <v>152</v>
      </c>
      <c r="H66" s="164" t="s">
        <v>144</v>
      </c>
      <c r="I66" s="164" t="s">
        <v>156</v>
      </c>
      <c r="J66" s="167"/>
      <c r="K66" s="159">
        <f>K67</f>
        <v>600</v>
      </c>
      <c r="L66" s="159">
        <f t="shared" ref="L66:M67" si="17">L67</f>
        <v>600</v>
      </c>
      <c r="M66" s="159">
        <f t="shared" si="17"/>
        <v>600</v>
      </c>
      <c r="N66" s="160"/>
      <c r="O66" s="160"/>
    </row>
    <row r="67" spans="2:15" s="161" customFormat="1" ht="46.8">
      <c r="B67" s="162" t="s">
        <v>199</v>
      </c>
      <c r="C67" s="157" t="s">
        <v>113</v>
      </c>
      <c r="D67" s="157" t="s">
        <v>90</v>
      </c>
      <c r="E67" s="157" t="s">
        <v>63</v>
      </c>
      <c r="F67" s="164" t="s">
        <v>150</v>
      </c>
      <c r="G67" s="164" t="s">
        <v>152</v>
      </c>
      <c r="H67" s="164" t="s">
        <v>144</v>
      </c>
      <c r="I67" s="164" t="s">
        <v>156</v>
      </c>
      <c r="J67" s="167">
        <v>200</v>
      </c>
      <c r="K67" s="159">
        <f>K68</f>
        <v>600</v>
      </c>
      <c r="L67" s="159">
        <f t="shared" si="17"/>
        <v>600</v>
      </c>
      <c r="M67" s="159">
        <f t="shared" si="17"/>
        <v>600</v>
      </c>
      <c r="N67" s="160"/>
      <c r="O67" s="160"/>
    </row>
    <row r="68" spans="2:15" s="161" customFormat="1" ht="46.8">
      <c r="B68" s="162" t="s">
        <v>72</v>
      </c>
      <c r="C68" s="157" t="s">
        <v>113</v>
      </c>
      <c r="D68" s="157" t="s">
        <v>90</v>
      </c>
      <c r="E68" s="157" t="s">
        <v>63</v>
      </c>
      <c r="F68" s="164" t="s">
        <v>150</v>
      </c>
      <c r="G68" s="164" t="s">
        <v>152</v>
      </c>
      <c r="H68" s="164" t="s">
        <v>144</v>
      </c>
      <c r="I68" s="164" t="s">
        <v>156</v>
      </c>
      <c r="J68" s="167">
        <v>240</v>
      </c>
      <c r="K68" s="159">
        <f>600</f>
        <v>600</v>
      </c>
      <c r="L68" s="159">
        <f>600</f>
        <v>600</v>
      </c>
      <c r="M68" s="159">
        <f>600</f>
        <v>600</v>
      </c>
      <c r="N68" s="160"/>
      <c r="O68" s="160"/>
    </row>
    <row r="69" spans="2:15" s="30" customFormat="1" ht="15.6">
      <c r="B69" s="183" t="s">
        <v>157</v>
      </c>
      <c r="C69" s="146" t="s">
        <v>113</v>
      </c>
      <c r="D69" s="146" t="s">
        <v>90</v>
      </c>
      <c r="E69" s="146" t="s">
        <v>85</v>
      </c>
      <c r="F69" s="184"/>
      <c r="G69" s="184"/>
      <c r="H69" s="184"/>
      <c r="I69" s="184"/>
      <c r="J69" s="185"/>
      <c r="K69" s="148">
        <f>K70</f>
        <v>6500</v>
      </c>
      <c r="L69" s="148">
        <f t="shared" ref="L69:M71" si="18">L70</f>
        <v>4000</v>
      </c>
      <c r="M69" s="148">
        <f t="shared" si="18"/>
        <v>3000</v>
      </c>
      <c r="N69" s="149"/>
      <c r="O69" s="149"/>
    </row>
    <row r="70" spans="2:15" s="30" customFormat="1" ht="78">
      <c r="B70" s="183" t="s">
        <v>204</v>
      </c>
      <c r="C70" s="146" t="s">
        <v>113</v>
      </c>
      <c r="D70" s="146" t="s">
        <v>90</v>
      </c>
      <c r="E70" s="146" t="s">
        <v>85</v>
      </c>
      <c r="F70" s="146" t="s">
        <v>205</v>
      </c>
      <c r="G70" s="146" t="s">
        <v>143</v>
      </c>
      <c r="H70" s="146" t="s">
        <v>144</v>
      </c>
      <c r="I70" s="146" t="s">
        <v>145</v>
      </c>
      <c r="J70" s="185"/>
      <c r="K70" s="148">
        <f>K71</f>
        <v>6500</v>
      </c>
      <c r="L70" s="148">
        <f t="shared" si="18"/>
        <v>4000</v>
      </c>
      <c r="M70" s="148">
        <f t="shared" si="18"/>
        <v>3000</v>
      </c>
      <c r="N70" s="149"/>
      <c r="O70" s="149"/>
    </row>
    <row r="71" spans="2:15" s="30" customFormat="1" ht="46.8">
      <c r="B71" s="176" t="s">
        <v>206</v>
      </c>
      <c r="C71" s="157" t="s">
        <v>113</v>
      </c>
      <c r="D71" s="157" t="s">
        <v>90</v>
      </c>
      <c r="E71" s="157" t="s">
        <v>85</v>
      </c>
      <c r="F71" s="157" t="s">
        <v>205</v>
      </c>
      <c r="G71" s="157" t="s">
        <v>59</v>
      </c>
      <c r="H71" s="157" t="s">
        <v>144</v>
      </c>
      <c r="I71" s="157" t="s">
        <v>145</v>
      </c>
      <c r="J71" s="167"/>
      <c r="K71" s="159">
        <f>K72</f>
        <v>6500</v>
      </c>
      <c r="L71" s="159">
        <f t="shared" si="18"/>
        <v>4000</v>
      </c>
      <c r="M71" s="159">
        <f t="shared" si="18"/>
        <v>3000</v>
      </c>
      <c r="N71" s="149"/>
      <c r="O71" s="149"/>
    </row>
    <row r="72" spans="2:15" s="30" customFormat="1" ht="46.8">
      <c r="B72" s="176" t="s">
        <v>207</v>
      </c>
      <c r="C72" s="157" t="s">
        <v>113</v>
      </c>
      <c r="D72" s="157" t="s">
        <v>90</v>
      </c>
      <c r="E72" s="157" t="s">
        <v>85</v>
      </c>
      <c r="F72" s="157" t="s">
        <v>205</v>
      </c>
      <c r="G72" s="157" t="s">
        <v>59</v>
      </c>
      <c r="H72" s="157" t="s">
        <v>63</v>
      </c>
      <c r="I72" s="157" t="s">
        <v>145</v>
      </c>
      <c r="J72" s="167"/>
      <c r="K72" s="159">
        <f>K73+K76+K81+K84+K87+K90+K93+K96+K99+K102</f>
        <v>6500</v>
      </c>
      <c r="L72" s="159">
        <f t="shared" ref="L72:M72" si="19">L73+L76+L81+L84+L87+L90+L93+L96+L99+L102</f>
        <v>4000</v>
      </c>
      <c r="M72" s="159">
        <f t="shared" si="19"/>
        <v>3000</v>
      </c>
      <c r="N72" s="149"/>
      <c r="O72" s="149"/>
    </row>
    <row r="73" spans="2:15" s="30" customFormat="1" ht="46.8" hidden="1">
      <c r="B73" s="176" t="s">
        <v>208</v>
      </c>
      <c r="C73" s="157" t="s">
        <v>113</v>
      </c>
      <c r="D73" s="157" t="s">
        <v>90</v>
      </c>
      <c r="E73" s="157" t="s">
        <v>85</v>
      </c>
      <c r="F73" s="157" t="s">
        <v>205</v>
      </c>
      <c r="G73" s="157" t="s">
        <v>59</v>
      </c>
      <c r="H73" s="157" t="s">
        <v>63</v>
      </c>
      <c r="I73" s="157" t="s">
        <v>209</v>
      </c>
      <c r="J73" s="167"/>
      <c r="K73" s="159">
        <f>K74</f>
        <v>0</v>
      </c>
      <c r="L73" s="159">
        <f t="shared" ref="L73:M74" si="20">L74</f>
        <v>0</v>
      </c>
      <c r="M73" s="159">
        <f t="shared" si="20"/>
        <v>0</v>
      </c>
      <c r="N73" s="149"/>
      <c r="O73" s="149"/>
    </row>
    <row r="74" spans="2:15" s="30" customFormat="1" ht="62.4" hidden="1">
      <c r="B74" s="162" t="s">
        <v>160</v>
      </c>
      <c r="C74" s="157" t="s">
        <v>113</v>
      </c>
      <c r="D74" s="157" t="s">
        <v>90</v>
      </c>
      <c r="E74" s="157" t="s">
        <v>85</v>
      </c>
      <c r="F74" s="157" t="s">
        <v>205</v>
      </c>
      <c r="G74" s="157" t="s">
        <v>59</v>
      </c>
      <c r="H74" s="157" t="s">
        <v>63</v>
      </c>
      <c r="I74" s="157" t="s">
        <v>209</v>
      </c>
      <c r="J74" s="167">
        <v>400</v>
      </c>
      <c r="K74" s="159">
        <f>K75</f>
        <v>0</v>
      </c>
      <c r="L74" s="159">
        <f t="shared" si="20"/>
        <v>0</v>
      </c>
      <c r="M74" s="159">
        <f t="shared" si="20"/>
        <v>0</v>
      </c>
      <c r="N74" s="149"/>
      <c r="O74" s="149"/>
    </row>
    <row r="75" spans="2:15" s="30" customFormat="1" ht="15.6" hidden="1">
      <c r="B75" s="162" t="s">
        <v>210</v>
      </c>
      <c r="C75" s="157" t="s">
        <v>113</v>
      </c>
      <c r="D75" s="157" t="s">
        <v>90</v>
      </c>
      <c r="E75" s="157" t="s">
        <v>85</v>
      </c>
      <c r="F75" s="157" t="s">
        <v>205</v>
      </c>
      <c r="G75" s="157" t="s">
        <v>59</v>
      </c>
      <c r="H75" s="157" t="s">
        <v>63</v>
      </c>
      <c r="I75" s="157" t="s">
        <v>209</v>
      </c>
      <c r="J75" s="167">
        <v>410</v>
      </c>
      <c r="K75" s="159">
        <f>1000-1000</f>
        <v>0</v>
      </c>
      <c r="L75" s="159">
        <f t="shared" ref="L75:M75" si="21">1000-1000</f>
        <v>0</v>
      </c>
      <c r="M75" s="159">
        <f t="shared" si="21"/>
        <v>0</v>
      </c>
      <c r="N75" s="149"/>
      <c r="O75" s="149"/>
    </row>
    <row r="76" spans="2:15" s="30" customFormat="1" ht="46.8" hidden="1">
      <c r="B76" s="176" t="s">
        <v>211</v>
      </c>
      <c r="C76" s="157" t="s">
        <v>113</v>
      </c>
      <c r="D76" s="157" t="s">
        <v>90</v>
      </c>
      <c r="E76" s="157" t="s">
        <v>85</v>
      </c>
      <c r="F76" s="157" t="s">
        <v>205</v>
      </c>
      <c r="G76" s="157" t="s">
        <v>59</v>
      </c>
      <c r="H76" s="157" t="s">
        <v>63</v>
      </c>
      <c r="I76" s="157" t="s">
        <v>212</v>
      </c>
      <c r="J76" s="167"/>
      <c r="K76" s="159">
        <f>K77</f>
        <v>0</v>
      </c>
      <c r="L76" s="159">
        <f t="shared" ref="L76:M77" si="22">L77</f>
        <v>0</v>
      </c>
      <c r="M76" s="159">
        <f t="shared" si="22"/>
        <v>0</v>
      </c>
      <c r="N76" s="149"/>
      <c r="O76" s="149"/>
    </row>
    <row r="77" spans="2:15" s="30" customFormat="1" ht="46.8" hidden="1">
      <c r="B77" s="162" t="s">
        <v>148</v>
      </c>
      <c r="C77" s="157" t="s">
        <v>113</v>
      </c>
      <c r="D77" s="157" t="s">
        <v>90</v>
      </c>
      <c r="E77" s="157" t="s">
        <v>85</v>
      </c>
      <c r="F77" s="157" t="s">
        <v>205</v>
      </c>
      <c r="G77" s="157" t="s">
        <v>59</v>
      </c>
      <c r="H77" s="157" t="s">
        <v>63</v>
      </c>
      <c r="I77" s="157" t="s">
        <v>212</v>
      </c>
      <c r="J77" s="167">
        <v>200</v>
      </c>
      <c r="K77" s="159">
        <f>K78</f>
        <v>0</v>
      </c>
      <c r="L77" s="159">
        <f t="shared" si="22"/>
        <v>0</v>
      </c>
      <c r="M77" s="159">
        <f t="shared" si="22"/>
        <v>0</v>
      </c>
      <c r="N77" s="149"/>
      <c r="O77" s="149"/>
    </row>
    <row r="78" spans="2:15" s="30" customFormat="1" ht="46.8" hidden="1">
      <c r="B78" s="162" t="s">
        <v>72</v>
      </c>
      <c r="C78" s="157" t="s">
        <v>113</v>
      </c>
      <c r="D78" s="157" t="s">
        <v>90</v>
      </c>
      <c r="E78" s="157" t="s">
        <v>85</v>
      </c>
      <c r="F78" s="157" t="s">
        <v>205</v>
      </c>
      <c r="G78" s="157" t="s">
        <v>59</v>
      </c>
      <c r="H78" s="157" t="s">
        <v>63</v>
      </c>
      <c r="I78" s="157" t="s">
        <v>212</v>
      </c>
      <c r="J78" s="167">
        <v>240</v>
      </c>
      <c r="K78" s="159">
        <f>2200-2200</f>
        <v>0</v>
      </c>
      <c r="L78" s="159">
        <f t="shared" ref="L78:M78" si="23">2200-2200</f>
        <v>0</v>
      </c>
      <c r="M78" s="159">
        <f t="shared" si="23"/>
        <v>0</v>
      </c>
      <c r="N78" s="149"/>
      <c r="O78" s="149"/>
    </row>
    <row r="79" spans="2:15" s="161" customFormat="1" ht="62.4" hidden="1">
      <c r="B79" s="162" t="s">
        <v>160</v>
      </c>
      <c r="C79" s="157" t="s">
        <v>113</v>
      </c>
      <c r="D79" s="157" t="s">
        <v>90</v>
      </c>
      <c r="E79" s="157" t="s">
        <v>85</v>
      </c>
      <c r="F79" s="164" t="s">
        <v>150</v>
      </c>
      <c r="G79" s="164" t="s">
        <v>158</v>
      </c>
      <c r="H79" s="164" t="s">
        <v>144</v>
      </c>
      <c r="I79" s="164" t="s">
        <v>159</v>
      </c>
      <c r="J79" s="167">
        <v>400</v>
      </c>
      <c r="K79" s="159">
        <f>K80</f>
        <v>0</v>
      </c>
      <c r="L79" s="159">
        <f t="shared" ref="L79:M79" si="24">L80</f>
        <v>0</v>
      </c>
      <c r="M79" s="159">
        <f t="shared" si="24"/>
        <v>0</v>
      </c>
      <c r="N79" s="160"/>
      <c r="O79" s="160"/>
    </row>
    <row r="80" spans="2:15" s="161" customFormat="1" ht="15.6" hidden="1">
      <c r="B80" s="162" t="s">
        <v>161</v>
      </c>
      <c r="C80" s="157" t="s">
        <v>113</v>
      </c>
      <c r="D80" s="157" t="s">
        <v>90</v>
      </c>
      <c r="E80" s="157" t="s">
        <v>85</v>
      </c>
      <c r="F80" s="164" t="s">
        <v>150</v>
      </c>
      <c r="G80" s="164" t="s">
        <v>158</v>
      </c>
      <c r="H80" s="164" t="s">
        <v>144</v>
      </c>
      <c r="I80" s="164" t="s">
        <v>159</v>
      </c>
      <c r="J80" s="167">
        <v>410</v>
      </c>
      <c r="K80" s="159">
        <f>0</f>
        <v>0</v>
      </c>
      <c r="L80" s="159">
        <f>0</f>
        <v>0</v>
      </c>
      <c r="M80" s="159">
        <f>0</f>
        <v>0</v>
      </c>
      <c r="N80" s="160"/>
      <c r="O80" s="160"/>
    </row>
    <row r="81" spans="2:15" s="161" customFormat="1" ht="62.4" hidden="1">
      <c r="B81" s="162" t="s">
        <v>262</v>
      </c>
      <c r="C81" s="157" t="s">
        <v>113</v>
      </c>
      <c r="D81" s="157" t="s">
        <v>90</v>
      </c>
      <c r="E81" s="157" t="s">
        <v>85</v>
      </c>
      <c r="F81" s="157" t="s">
        <v>205</v>
      </c>
      <c r="G81" s="157" t="s">
        <v>59</v>
      </c>
      <c r="H81" s="157" t="s">
        <v>63</v>
      </c>
      <c r="I81" s="157" t="s">
        <v>263</v>
      </c>
      <c r="J81" s="167"/>
      <c r="K81" s="159">
        <f>K82</f>
        <v>0</v>
      </c>
      <c r="L81" s="159">
        <f t="shared" ref="L81:M82" si="25">L82</f>
        <v>0</v>
      </c>
      <c r="M81" s="159">
        <f t="shared" si="25"/>
        <v>0</v>
      </c>
      <c r="N81" s="160"/>
      <c r="O81" s="160"/>
    </row>
    <row r="82" spans="2:15" s="161" customFormat="1" ht="46.8" hidden="1">
      <c r="B82" s="162" t="s">
        <v>148</v>
      </c>
      <c r="C82" s="157" t="s">
        <v>113</v>
      </c>
      <c r="D82" s="157" t="s">
        <v>90</v>
      </c>
      <c r="E82" s="157" t="s">
        <v>85</v>
      </c>
      <c r="F82" s="157" t="s">
        <v>205</v>
      </c>
      <c r="G82" s="157" t="s">
        <v>59</v>
      </c>
      <c r="H82" s="157" t="s">
        <v>63</v>
      </c>
      <c r="I82" s="157" t="s">
        <v>263</v>
      </c>
      <c r="J82" s="167">
        <v>200</v>
      </c>
      <c r="K82" s="159">
        <f>K83</f>
        <v>0</v>
      </c>
      <c r="L82" s="159">
        <f t="shared" si="25"/>
        <v>0</v>
      </c>
      <c r="M82" s="159">
        <f t="shared" si="25"/>
        <v>0</v>
      </c>
      <c r="N82" s="160"/>
      <c r="O82" s="160"/>
    </row>
    <row r="83" spans="2:15" s="161" customFormat="1" ht="46.8" hidden="1">
      <c r="B83" s="162" t="s">
        <v>72</v>
      </c>
      <c r="C83" s="157" t="s">
        <v>113</v>
      </c>
      <c r="D83" s="157" t="s">
        <v>90</v>
      </c>
      <c r="E83" s="157" t="s">
        <v>85</v>
      </c>
      <c r="F83" s="157" t="s">
        <v>205</v>
      </c>
      <c r="G83" s="157" t="s">
        <v>59</v>
      </c>
      <c r="H83" s="157" t="s">
        <v>63</v>
      </c>
      <c r="I83" s="157" t="s">
        <v>263</v>
      </c>
      <c r="J83" s="167">
        <v>240</v>
      </c>
      <c r="K83" s="159">
        <f>0</f>
        <v>0</v>
      </c>
      <c r="L83" s="159">
        <f>0</f>
        <v>0</v>
      </c>
      <c r="M83" s="159">
        <f>0</f>
        <v>0</v>
      </c>
      <c r="N83" s="160"/>
      <c r="O83" s="160"/>
    </row>
    <row r="84" spans="2:15" s="161" customFormat="1" ht="62.4" hidden="1">
      <c r="B84" s="162" t="s">
        <v>264</v>
      </c>
      <c r="C84" s="157" t="s">
        <v>113</v>
      </c>
      <c r="D84" s="157" t="s">
        <v>90</v>
      </c>
      <c r="E84" s="157" t="s">
        <v>85</v>
      </c>
      <c r="F84" s="157" t="s">
        <v>205</v>
      </c>
      <c r="G84" s="157" t="s">
        <v>59</v>
      </c>
      <c r="H84" s="157" t="s">
        <v>63</v>
      </c>
      <c r="I84" s="157" t="s">
        <v>265</v>
      </c>
      <c r="J84" s="167"/>
      <c r="K84" s="159">
        <f>K85</f>
        <v>0</v>
      </c>
      <c r="L84" s="159">
        <f t="shared" ref="L84:M85" si="26">L85</f>
        <v>0</v>
      </c>
      <c r="M84" s="159">
        <f t="shared" si="26"/>
        <v>0</v>
      </c>
      <c r="N84" s="160"/>
      <c r="O84" s="160"/>
    </row>
    <row r="85" spans="2:15" s="161" customFormat="1" ht="46.8" hidden="1">
      <c r="B85" s="162" t="s">
        <v>148</v>
      </c>
      <c r="C85" s="157" t="s">
        <v>113</v>
      </c>
      <c r="D85" s="157" t="s">
        <v>90</v>
      </c>
      <c r="E85" s="157" t="s">
        <v>85</v>
      </c>
      <c r="F85" s="157" t="s">
        <v>205</v>
      </c>
      <c r="G85" s="157" t="s">
        <v>59</v>
      </c>
      <c r="H85" s="157" t="s">
        <v>63</v>
      </c>
      <c r="I85" s="157" t="s">
        <v>265</v>
      </c>
      <c r="J85" s="167">
        <v>200</v>
      </c>
      <c r="K85" s="159">
        <f>K86</f>
        <v>0</v>
      </c>
      <c r="L85" s="159">
        <f t="shared" si="26"/>
        <v>0</v>
      </c>
      <c r="M85" s="159">
        <f t="shared" si="26"/>
        <v>0</v>
      </c>
      <c r="N85" s="160"/>
      <c r="O85" s="160"/>
    </row>
    <row r="86" spans="2:15" s="161" customFormat="1" ht="46.8" hidden="1">
      <c r="B86" s="162" t="s">
        <v>72</v>
      </c>
      <c r="C86" s="157" t="s">
        <v>113</v>
      </c>
      <c r="D86" s="157" t="s">
        <v>90</v>
      </c>
      <c r="E86" s="157" t="s">
        <v>85</v>
      </c>
      <c r="F86" s="157" t="s">
        <v>205</v>
      </c>
      <c r="G86" s="157" t="s">
        <v>59</v>
      </c>
      <c r="H86" s="157" t="s">
        <v>63</v>
      </c>
      <c r="I86" s="157" t="s">
        <v>265</v>
      </c>
      <c r="J86" s="167">
        <v>240</v>
      </c>
      <c r="K86" s="159">
        <f>0</f>
        <v>0</v>
      </c>
      <c r="L86" s="159">
        <f>0</f>
        <v>0</v>
      </c>
      <c r="M86" s="159">
        <f>0</f>
        <v>0</v>
      </c>
      <c r="N86" s="160"/>
      <c r="O86" s="160"/>
    </row>
    <row r="87" spans="2:15" s="161" customFormat="1" ht="93.6" hidden="1">
      <c r="B87" s="162" t="s">
        <v>266</v>
      </c>
      <c r="C87" s="157" t="s">
        <v>113</v>
      </c>
      <c r="D87" s="157" t="s">
        <v>90</v>
      </c>
      <c r="E87" s="157" t="s">
        <v>85</v>
      </c>
      <c r="F87" s="157" t="s">
        <v>205</v>
      </c>
      <c r="G87" s="157" t="s">
        <v>59</v>
      </c>
      <c r="H87" s="157" t="s">
        <v>63</v>
      </c>
      <c r="I87" s="157" t="s">
        <v>267</v>
      </c>
      <c r="J87" s="167"/>
      <c r="K87" s="159">
        <f>K88</f>
        <v>0</v>
      </c>
      <c r="L87" s="159">
        <f t="shared" ref="L87:M88" si="27">L88</f>
        <v>0</v>
      </c>
      <c r="M87" s="159">
        <f t="shared" si="27"/>
        <v>0</v>
      </c>
      <c r="N87" s="160"/>
      <c r="O87" s="160"/>
    </row>
    <row r="88" spans="2:15" s="161" customFormat="1" ht="46.8" hidden="1">
      <c r="B88" s="162" t="s">
        <v>148</v>
      </c>
      <c r="C88" s="157" t="s">
        <v>113</v>
      </c>
      <c r="D88" s="157" t="s">
        <v>90</v>
      </c>
      <c r="E88" s="157" t="s">
        <v>85</v>
      </c>
      <c r="F88" s="157" t="s">
        <v>205</v>
      </c>
      <c r="G88" s="157" t="s">
        <v>59</v>
      </c>
      <c r="H88" s="157" t="s">
        <v>63</v>
      </c>
      <c r="I88" s="157" t="s">
        <v>267</v>
      </c>
      <c r="J88" s="167">
        <v>200</v>
      </c>
      <c r="K88" s="159">
        <f>K89</f>
        <v>0</v>
      </c>
      <c r="L88" s="159">
        <f t="shared" si="27"/>
        <v>0</v>
      </c>
      <c r="M88" s="159">
        <f t="shared" si="27"/>
        <v>0</v>
      </c>
      <c r="N88" s="160"/>
      <c r="O88" s="160"/>
    </row>
    <row r="89" spans="2:15" s="161" customFormat="1" ht="46.8" hidden="1">
      <c r="B89" s="162" t="s">
        <v>72</v>
      </c>
      <c r="C89" s="157" t="s">
        <v>113</v>
      </c>
      <c r="D89" s="157" t="s">
        <v>90</v>
      </c>
      <c r="E89" s="157" t="s">
        <v>85</v>
      </c>
      <c r="F89" s="157" t="s">
        <v>205</v>
      </c>
      <c r="G89" s="157" t="s">
        <v>59</v>
      </c>
      <c r="H89" s="157" t="s">
        <v>63</v>
      </c>
      <c r="I89" s="157" t="s">
        <v>267</v>
      </c>
      <c r="J89" s="167">
        <v>240</v>
      </c>
      <c r="K89" s="159">
        <f>0</f>
        <v>0</v>
      </c>
      <c r="L89" s="159">
        <f>0</f>
        <v>0</v>
      </c>
      <c r="M89" s="159">
        <f>0</f>
        <v>0</v>
      </c>
      <c r="N89" s="160"/>
      <c r="O89" s="160"/>
    </row>
    <row r="90" spans="2:15" s="161" customFormat="1" ht="62.4" hidden="1">
      <c r="B90" s="162" t="s">
        <v>268</v>
      </c>
      <c r="C90" s="157" t="s">
        <v>113</v>
      </c>
      <c r="D90" s="157" t="s">
        <v>90</v>
      </c>
      <c r="E90" s="157" t="s">
        <v>85</v>
      </c>
      <c r="F90" s="157" t="s">
        <v>205</v>
      </c>
      <c r="G90" s="157" t="s">
        <v>59</v>
      </c>
      <c r="H90" s="157" t="s">
        <v>63</v>
      </c>
      <c r="I90" s="157" t="s">
        <v>269</v>
      </c>
      <c r="J90" s="167"/>
      <c r="K90" s="159">
        <f>K91</f>
        <v>0</v>
      </c>
      <c r="L90" s="159">
        <f t="shared" ref="L90:M91" si="28">L91</f>
        <v>0</v>
      </c>
      <c r="M90" s="159">
        <f t="shared" si="28"/>
        <v>0</v>
      </c>
      <c r="N90" s="160"/>
      <c r="O90" s="160"/>
    </row>
    <row r="91" spans="2:15" s="161" customFormat="1" ht="46.8" hidden="1">
      <c r="B91" s="162" t="s">
        <v>199</v>
      </c>
      <c r="C91" s="157" t="s">
        <v>113</v>
      </c>
      <c r="D91" s="157" t="s">
        <v>90</v>
      </c>
      <c r="E91" s="157" t="s">
        <v>85</v>
      </c>
      <c r="F91" s="157" t="s">
        <v>205</v>
      </c>
      <c r="G91" s="157" t="s">
        <v>59</v>
      </c>
      <c r="H91" s="157" t="s">
        <v>63</v>
      </c>
      <c r="I91" s="157" t="s">
        <v>269</v>
      </c>
      <c r="J91" s="167">
        <v>200</v>
      </c>
      <c r="K91" s="159">
        <f>K92</f>
        <v>0</v>
      </c>
      <c r="L91" s="159">
        <f t="shared" si="28"/>
        <v>0</v>
      </c>
      <c r="M91" s="159">
        <f t="shared" si="28"/>
        <v>0</v>
      </c>
      <c r="N91" s="160"/>
      <c r="O91" s="160"/>
    </row>
    <row r="92" spans="2:15" s="161" customFormat="1" ht="46.8" hidden="1">
      <c r="B92" s="162" t="s">
        <v>72</v>
      </c>
      <c r="C92" s="157" t="s">
        <v>113</v>
      </c>
      <c r="D92" s="157" t="s">
        <v>90</v>
      </c>
      <c r="E92" s="157" t="s">
        <v>85</v>
      </c>
      <c r="F92" s="157" t="s">
        <v>205</v>
      </c>
      <c r="G92" s="157" t="s">
        <v>59</v>
      </c>
      <c r="H92" s="157" t="s">
        <v>63</v>
      </c>
      <c r="I92" s="157" t="s">
        <v>269</v>
      </c>
      <c r="J92" s="167">
        <v>240</v>
      </c>
      <c r="K92" s="159"/>
      <c r="L92" s="159"/>
      <c r="M92" s="159"/>
      <c r="N92" s="160"/>
      <c r="O92" s="160"/>
    </row>
    <row r="93" spans="2:15" s="161" customFormat="1" ht="46.8" hidden="1">
      <c r="B93" s="162" t="s">
        <v>270</v>
      </c>
      <c r="C93" s="157" t="s">
        <v>113</v>
      </c>
      <c r="D93" s="157" t="s">
        <v>90</v>
      </c>
      <c r="E93" s="157" t="s">
        <v>85</v>
      </c>
      <c r="F93" s="157" t="s">
        <v>205</v>
      </c>
      <c r="G93" s="157" t="s">
        <v>59</v>
      </c>
      <c r="H93" s="157" t="s">
        <v>63</v>
      </c>
      <c r="I93" s="157" t="s">
        <v>271</v>
      </c>
      <c r="J93" s="167"/>
      <c r="K93" s="159">
        <f>K94</f>
        <v>0</v>
      </c>
      <c r="L93" s="159">
        <f t="shared" ref="L93:M94" si="29">L94</f>
        <v>0</v>
      </c>
      <c r="M93" s="159">
        <f t="shared" si="29"/>
        <v>0</v>
      </c>
      <c r="N93" s="160"/>
      <c r="O93" s="160"/>
    </row>
    <row r="94" spans="2:15" s="161" customFormat="1" ht="62.4" hidden="1">
      <c r="B94" s="162" t="s">
        <v>160</v>
      </c>
      <c r="C94" s="157" t="s">
        <v>113</v>
      </c>
      <c r="D94" s="157" t="s">
        <v>90</v>
      </c>
      <c r="E94" s="157" t="s">
        <v>85</v>
      </c>
      <c r="F94" s="157" t="s">
        <v>205</v>
      </c>
      <c r="G94" s="157" t="s">
        <v>59</v>
      </c>
      <c r="H94" s="157" t="s">
        <v>63</v>
      </c>
      <c r="I94" s="157" t="s">
        <v>271</v>
      </c>
      <c r="J94" s="167">
        <v>400</v>
      </c>
      <c r="K94" s="159">
        <f>K95</f>
        <v>0</v>
      </c>
      <c r="L94" s="159">
        <f t="shared" si="29"/>
        <v>0</v>
      </c>
      <c r="M94" s="159">
        <f t="shared" si="29"/>
        <v>0</v>
      </c>
      <c r="N94" s="160"/>
      <c r="O94" s="160"/>
    </row>
    <row r="95" spans="2:15" s="161" customFormat="1" ht="15.6" hidden="1">
      <c r="B95" s="162" t="s">
        <v>161</v>
      </c>
      <c r="C95" s="157" t="s">
        <v>113</v>
      </c>
      <c r="D95" s="157" t="s">
        <v>90</v>
      </c>
      <c r="E95" s="157" t="s">
        <v>85</v>
      </c>
      <c r="F95" s="157" t="s">
        <v>205</v>
      </c>
      <c r="G95" s="157" t="s">
        <v>59</v>
      </c>
      <c r="H95" s="157" t="s">
        <v>63</v>
      </c>
      <c r="I95" s="157" t="s">
        <v>271</v>
      </c>
      <c r="J95" s="167">
        <v>410</v>
      </c>
      <c r="K95" s="159">
        <f>(0+4000)-4000</f>
        <v>0</v>
      </c>
      <c r="L95" s="159">
        <f t="shared" ref="L95:M95" si="30">(0+4000)-4000</f>
        <v>0</v>
      </c>
      <c r="M95" s="159">
        <f t="shared" si="30"/>
        <v>0</v>
      </c>
      <c r="N95" s="160"/>
      <c r="O95" s="160"/>
    </row>
    <row r="96" spans="2:15" s="161" customFormat="1" ht="46.8">
      <c r="B96" s="162" t="s">
        <v>303</v>
      </c>
      <c r="C96" s="157" t="s">
        <v>113</v>
      </c>
      <c r="D96" s="157" t="s">
        <v>90</v>
      </c>
      <c r="E96" s="157" t="s">
        <v>85</v>
      </c>
      <c r="F96" s="157" t="s">
        <v>205</v>
      </c>
      <c r="G96" s="157" t="s">
        <v>59</v>
      </c>
      <c r="H96" s="157" t="s">
        <v>63</v>
      </c>
      <c r="I96" s="157" t="s">
        <v>304</v>
      </c>
      <c r="J96" s="167"/>
      <c r="K96" s="159">
        <f>K97</f>
        <v>1500</v>
      </c>
      <c r="L96" s="159">
        <f t="shared" ref="L96:M97" si="31">L97</f>
        <v>1000</v>
      </c>
      <c r="M96" s="159">
        <f t="shared" si="31"/>
        <v>3000</v>
      </c>
      <c r="N96" s="160"/>
      <c r="O96" s="160"/>
    </row>
    <row r="97" spans="2:15" s="161" customFormat="1" ht="46.8">
      <c r="B97" s="162" t="s">
        <v>199</v>
      </c>
      <c r="C97" s="157" t="s">
        <v>113</v>
      </c>
      <c r="D97" s="157" t="s">
        <v>90</v>
      </c>
      <c r="E97" s="157" t="s">
        <v>85</v>
      </c>
      <c r="F97" s="157" t="s">
        <v>205</v>
      </c>
      <c r="G97" s="157" t="s">
        <v>59</v>
      </c>
      <c r="H97" s="157" t="s">
        <v>63</v>
      </c>
      <c r="I97" s="157" t="s">
        <v>304</v>
      </c>
      <c r="J97" s="167">
        <v>200</v>
      </c>
      <c r="K97" s="159">
        <f>K98</f>
        <v>1500</v>
      </c>
      <c r="L97" s="159">
        <f t="shared" si="31"/>
        <v>1000</v>
      </c>
      <c r="M97" s="159">
        <f t="shared" si="31"/>
        <v>3000</v>
      </c>
      <c r="N97" s="160"/>
      <c r="O97" s="160"/>
    </row>
    <row r="98" spans="2:15" s="161" customFormat="1" ht="46.8">
      <c r="B98" s="162" t="s">
        <v>72</v>
      </c>
      <c r="C98" s="157" t="s">
        <v>113</v>
      </c>
      <c r="D98" s="157" t="s">
        <v>90</v>
      </c>
      <c r="E98" s="157" t="s">
        <v>85</v>
      </c>
      <c r="F98" s="157" t="s">
        <v>205</v>
      </c>
      <c r="G98" s="157" t="s">
        <v>59</v>
      </c>
      <c r="H98" s="157" t="s">
        <v>63</v>
      </c>
      <c r="I98" s="157" t="s">
        <v>304</v>
      </c>
      <c r="J98" s="167">
        <v>240</v>
      </c>
      <c r="K98" s="159">
        <f>1500</f>
        <v>1500</v>
      </c>
      <c r="L98" s="247">
        <f>1500+2000-2500</f>
        <v>1000</v>
      </c>
      <c r="M98" s="247">
        <f>7000-4000</f>
        <v>3000</v>
      </c>
      <c r="N98" s="160"/>
      <c r="O98" s="160"/>
    </row>
    <row r="99" spans="2:15" s="161" customFormat="1" ht="62.4">
      <c r="B99" s="162" t="s">
        <v>305</v>
      </c>
      <c r="C99" s="157" t="s">
        <v>113</v>
      </c>
      <c r="D99" s="157" t="s">
        <v>90</v>
      </c>
      <c r="E99" s="157" t="s">
        <v>85</v>
      </c>
      <c r="F99" s="157" t="s">
        <v>205</v>
      </c>
      <c r="G99" s="157" t="s">
        <v>59</v>
      </c>
      <c r="H99" s="157" t="s">
        <v>63</v>
      </c>
      <c r="I99" s="157" t="s">
        <v>306</v>
      </c>
      <c r="J99" s="167"/>
      <c r="K99" s="159">
        <f>K100</f>
        <v>5000</v>
      </c>
      <c r="L99" s="159">
        <f t="shared" ref="L99:M100" si="32">L100</f>
        <v>0</v>
      </c>
      <c r="M99" s="159">
        <f t="shared" si="32"/>
        <v>0</v>
      </c>
      <c r="N99" s="160"/>
      <c r="O99" s="160"/>
    </row>
    <row r="100" spans="2:15" s="161" customFormat="1" ht="62.4">
      <c r="B100" s="162" t="s">
        <v>160</v>
      </c>
      <c r="C100" s="157" t="s">
        <v>113</v>
      </c>
      <c r="D100" s="157" t="s">
        <v>90</v>
      </c>
      <c r="E100" s="157" t="s">
        <v>85</v>
      </c>
      <c r="F100" s="157" t="s">
        <v>205</v>
      </c>
      <c r="G100" s="157" t="s">
        <v>59</v>
      </c>
      <c r="H100" s="157" t="s">
        <v>63</v>
      </c>
      <c r="I100" s="157" t="s">
        <v>306</v>
      </c>
      <c r="J100" s="167">
        <v>400</v>
      </c>
      <c r="K100" s="159">
        <f>K101</f>
        <v>5000</v>
      </c>
      <c r="L100" s="159">
        <f t="shared" si="32"/>
        <v>0</v>
      </c>
      <c r="M100" s="159">
        <f t="shared" si="32"/>
        <v>0</v>
      </c>
      <c r="N100" s="160"/>
      <c r="O100" s="160"/>
    </row>
    <row r="101" spans="2:15" s="161" customFormat="1" ht="15.6">
      <c r="B101" s="162" t="s">
        <v>161</v>
      </c>
      <c r="C101" s="157" t="s">
        <v>113</v>
      </c>
      <c r="D101" s="157" t="s">
        <v>90</v>
      </c>
      <c r="E101" s="157" t="s">
        <v>85</v>
      </c>
      <c r="F101" s="157" t="s">
        <v>205</v>
      </c>
      <c r="G101" s="157" t="s">
        <v>59</v>
      </c>
      <c r="H101" s="157" t="s">
        <v>63</v>
      </c>
      <c r="I101" s="157" t="s">
        <v>306</v>
      </c>
      <c r="J101" s="167">
        <v>410</v>
      </c>
      <c r="K101" s="159">
        <f>(5000)</f>
        <v>5000</v>
      </c>
      <c r="L101" s="159"/>
      <c r="M101" s="159"/>
      <c r="N101" s="160"/>
      <c r="O101" s="160"/>
    </row>
    <row r="102" spans="2:15" s="161" customFormat="1" ht="62.4">
      <c r="B102" s="162" t="s">
        <v>307</v>
      </c>
      <c r="C102" s="157" t="s">
        <v>113</v>
      </c>
      <c r="D102" s="157" t="s">
        <v>90</v>
      </c>
      <c r="E102" s="157" t="s">
        <v>85</v>
      </c>
      <c r="F102" s="186" t="s">
        <v>205</v>
      </c>
      <c r="G102" s="186" t="s">
        <v>59</v>
      </c>
      <c r="H102" s="186" t="s">
        <v>63</v>
      </c>
      <c r="I102" s="186" t="s">
        <v>308</v>
      </c>
      <c r="J102" s="167"/>
      <c r="K102" s="159">
        <f>K103</f>
        <v>0</v>
      </c>
      <c r="L102" s="159">
        <f t="shared" ref="L102:M103" si="33">L103</f>
        <v>3000</v>
      </c>
      <c r="M102" s="159">
        <f t="shared" si="33"/>
        <v>0</v>
      </c>
      <c r="N102" s="160"/>
      <c r="O102" s="160"/>
    </row>
    <row r="103" spans="2:15" s="161" customFormat="1" ht="46.8">
      <c r="B103" s="162" t="s">
        <v>199</v>
      </c>
      <c r="C103" s="157" t="s">
        <v>113</v>
      </c>
      <c r="D103" s="157" t="s">
        <v>90</v>
      </c>
      <c r="E103" s="157" t="s">
        <v>85</v>
      </c>
      <c r="F103" s="186" t="s">
        <v>205</v>
      </c>
      <c r="G103" s="186" t="s">
        <v>59</v>
      </c>
      <c r="H103" s="186" t="s">
        <v>63</v>
      </c>
      <c r="I103" s="186" t="s">
        <v>308</v>
      </c>
      <c r="J103" s="167">
        <v>200</v>
      </c>
      <c r="K103" s="159">
        <f>K104</f>
        <v>0</v>
      </c>
      <c r="L103" s="159">
        <f t="shared" si="33"/>
        <v>3000</v>
      </c>
      <c r="M103" s="159">
        <f t="shared" si="33"/>
        <v>0</v>
      </c>
      <c r="N103" s="160"/>
      <c r="O103" s="160"/>
    </row>
    <row r="104" spans="2:15" s="161" customFormat="1" ht="46.8">
      <c r="B104" s="162" t="s">
        <v>72</v>
      </c>
      <c r="C104" s="157" t="s">
        <v>113</v>
      </c>
      <c r="D104" s="157" t="s">
        <v>90</v>
      </c>
      <c r="E104" s="157" t="s">
        <v>85</v>
      </c>
      <c r="F104" s="186" t="s">
        <v>205</v>
      </c>
      <c r="G104" s="186" t="s">
        <v>59</v>
      </c>
      <c r="H104" s="186" t="s">
        <v>63</v>
      </c>
      <c r="I104" s="186" t="s">
        <v>308</v>
      </c>
      <c r="J104" s="167">
        <v>240</v>
      </c>
      <c r="K104" s="159"/>
      <c r="L104" s="159">
        <f>3000</f>
        <v>3000</v>
      </c>
      <c r="M104" s="159"/>
      <c r="N104" s="160"/>
      <c r="O104" s="160"/>
    </row>
    <row r="105" spans="2:15" s="30" customFormat="1" ht="31.2">
      <c r="B105" s="183" t="s">
        <v>116</v>
      </c>
      <c r="C105" s="146" t="s">
        <v>117</v>
      </c>
      <c r="D105" s="146"/>
      <c r="E105" s="146"/>
      <c r="F105" s="147"/>
      <c r="G105" s="147"/>
      <c r="H105" s="147"/>
      <c r="I105" s="147"/>
      <c r="J105" s="146"/>
      <c r="K105" s="148">
        <f>K106+K136+K162+K196+K465+K481</f>
        <v>35399.1</v>
      </c>
      <c r="L105" s="148">
        <f>L106+L136+L162+L196+L465+L481</f>
        <v>37412.68</v>
      </c>
      <c r="M105" s="148">
        <f>M106+M136+M162+M196+M465+M481</f>
        <v>39550.669499999996</v>
      </c>
      <c r="N105" s="149"/>
      <c r="O105" s="149"/>
    </row>
    <row r="106" spans="2:15" s="30" customFormat="1" ht="15.6">
      <c r="B106" s="150" t="s">
        <v>62</v>
      </c>
      <c r="C106" s="146" t="s">
        <v>117</v>
      </c>
      <c r="D106" s="146" t="s">
        <v>63</v>
      </c>
      <c r="E106" s="151"/>
      <c r="F106" s="147"/>
      <c r="G106" s="147"/>
      <c r="H106" s="147"/>
      <c r="I106" s="147"/>
      <c r="J106" s="146"/>
      <c r="K106" s="148">
        <f>K107+K113+K118</f>
        <v>1000</v>
      </c>
      <c r="L106" s="148">
        <f t="shared" ref="L106:M106" si="34">L107+L113+L118</f>
        <v>1020</v>
      </c>
      <c r="M106" s="148">
        <f t="shared" si="34"/>
        <v>1039.9829</v>
      </c>
      <c r="N106" s="149"/>
      <c r="O106" s="149"/>
    </row>
    <row r="107" spans="2:15" s="30" customFormat="1" ht="31.2" hidden="1">
      <c r="B107" s="183" t="s">
        <v>272</v>
      </c>
      <c r="C107" s="146" t="s">
        <v>117</v>
      </c>
      <c r="D107" s="146" t="s">
        <v>63</v>
      </c>
      <c r="E107" s="146" t="s">
        <v>78</v>
      </c>
      <c r="F107" s="147"/>
      <c r="G107" s="147"/>
      <c r="H107" s="147"/>
      <c r="I107" s="147"/>
      <c r="J107" s="154"/>
      <c r="K107" s="148">
        <f>K108</f>
        <v>0</v>
      </c>
      <c r="L107" s="148">
        <f t="shared" ref="L107:M111" si="35">L108</f>
        <v>0</v>
      </c>
      <c r="M107" s="148">
        <f t="shared" si="35"/>
        <v>0</v>
      </c>
      <c r="N107" s="149"/>
      <c r="O107" s="149"/>
    </row>
    <row r="108" spans="2:15" s="30" customFormat="1" ht="31.2" hidden="1">
      <c r="B108" s="162" t="s">
        <v>178</v>
      </c>
      <c r="C108" s="157" t="s">
        <v>117</v>
      </c>
      <c r="D108" s="157" t="s">
        <v>63</v>
      </c>
      <c r="E108" s="157" t="s">
        <v>78</v>
      </c>
      <c r="F108" s="164" t="s">
        <v>179</v>
      </c>
      <c r="G108" s="164" t="s">
        <v>143</v>
      </c>
      <c r="H108" s="164" t="s">
        <v>144</v>
      </c>
      <c r="I108" s="164" t="s">
        <v>145</v>
      </c>
      <c r="J108" s="158"/>
      <c r="K108" s="159">
        <f>K109</f>
        <v>0</v>
      </c>
      <c r="L108" s="159">
        <f t="shared" si="35"/>
        <v>0</v>
      </c>
      <c r="M108" s="159">
        <f t="shared" si="35"/>
        <v>0</v>
      </c>
      <c r="N108" s="149"/>
      <c r="O108" s="149"/>
    </row>
    <row r="109" spans="2:15" s="30" customFormat="1" ht="46.8" hidden="1">
      <c r="B109" s="162" t="s">
        <v>82</v>
      </c>
      <c r="C109" s="157" t="s">
        <v>117</v>
      </c>
      <c r="D109" s="157" t="s">
        <v>63</v>
      </c>
      <c r="E109" s="157" t="s">
        <v>78</v>
      </c>
      <c r="F109" s="164" t="s">
        <v>179</v>
      </c>
      <c r="G109" s="164" t="s">
        <v>59</v>
      </c>
      <c r="H109" s="164" t="s">
        <v>144</v>
      </c>
      <c r="I109" s="164" t="s">
        <v>145</v>
      </c>
      <c r="J109" s="158"/>
      <c r="K109" s="159">
        <f>K110</f>
        <v>0</v>
      </c>
      <c r="L109" s="159">
        <f t="shared" si="35"/>
        <v>0</v>
      </c>
      <c r="M109" s="159">
        <f t="shared" si="35"/>
        <v>0</v>
      </c>
      <c r="N109" s="149"/>
      <c r="O109" s="149"/>
    </row>
    <row r="110" spans="2:15" s="30" customFormat="1" ht="46.8" hidden="1">
      <c r="B110" s="162" t="s">
        <v>309</v>
      </c>
      <c r="C110" s="157" t="s">
        <v>117</v>
      </c>
      <c r="D110" s="157" t="s">
        <v>63</v>
      </c>
      <c r="E110" s="157" t="s">
        <v>78</v>
      </c>
      <c r="F110" s="164" t="s">
        <v>179</v>
      </c>
      <c r="G110" s="164" t="s">
        <v>59</v>
      </c>
      <c r="H110" s="164" t="s">
        <v>144</v>
      </c>
      <c r="I110" s="157" t="s">
        <v>310</v>
      </c>
      <c r="J110" s="158"/>
      <c r="K110" s="159">
        <f>K111</f>
        <v>0</v>
      </c>
      <c r="L110" s="159">
        <f t="shared" si="35"/>
        <v>0</v>
      </c>
      <c r="M110" s="159">
        <f t="shared" si="35"/>
        <v>0</v>
      </c>
      <c r="N110" s="149"/>
      <c r="O110" s="149"/>
    </row>
    <row r="111" spans="2:15" s="30" customFormat="1" ht="15.6" hidden="1">
      <c r="B111" s="162" t="s">
        <v>74</v>
      </c>
      <c r="C111" s="157" t="s">
        <v>117</v>
      </c>
      <c r="D111" s="157" t="s">
        <v>63</v>
      </c>
      <c r="E111" s="157" t="s">
        <v>78</v>
      </c>
      <c r="F111" s="164" t="s">
        <v>179</v>
      </c>
      <c r="G111" s="164" t="s">
        <v>59</v>
      </c>
      <c r="H111" s="164" t="s">
        <v>144</v>
      </c>
      <c r="I111" s="157" t="s">
        <v>310</v>
      </c>
      <c r="J111" s="158" t="s">
        <v>75</v>
      </c>
      <c r="K111" s="159">
        <f>K112</f>
        <v>0</v>
      </c>
      <c r="L111" s="159">
        <f t="shared" si="35"/>
        <v>0</v>
      </c>
      <c r="M111" s="159">
        <f t="shared" si="35"/>
        <v>0</v>
      </c>
      <c r="N111" s="149"/>
      <c r="O111" s="149"/>
    </row>
    <row r="112" spans="2:15" s="30" customFormat="1" ht="15.6" hidden="1">
      <c r="B112" s="162" t="s">
        <v>273</v>
      </c>
      <c r="C112" s="157" t="s">
        <v>117</v>
      </c>
      <c r="D112" s="157" t="s">
        <v>63</v>
      </c>
      <c r="E112" s="157" t="s">
        <v>78</v>
      </c>
      <c r="F112" s="164" t="s">
        <v>179</v>
      </c>
      <c r="G112" s="164" t="s">
        <v>59</v>
      </c>
      <c r="H112" s="164" t="s">
        <v>144</v>
      </c>
      <c r="I112" s="157" t="s">
        <v>310</v>
      </c>
      <c r="J112" s="158" t="s">
        <v>274</v>
      </c>
      <c r="K112" s="159"/>
      <c r="L112" s="159"/>
      <c r="M112" s="159"/>
      <c r="N112" s="149"/>
      <c r="O112" s="149"/>
    </row>
    <row r="113" spans="2:15" s="30" customFormat="1" ht="15.6">
      <c r="B113" s="183" t="s">
        <v>162</v>
      </c>
      <c r="C113" s="151" t="s">
        <v>117</v>
      </c>
      <c r="D113" s="146" t="s">
        <v>63</v>
      </c>
      <c r="E113" s="146" t="s">
        <v>79</v>
      </c>
      <c r="F113" s="146"/>
      <c r="G113" s="146"/>
      <c r="H113" s="146"/>
      <c r="I113" s="146"/>
      <c r="J113" s="146"/>
      <c r="K113" s="187">
        <f>K114</f>
        <v>100</v>
      </c>
      <c r="L113" s="187">
        <f t="shared" ref="L113:M116" si="36">L114</f>
        <v>100</v>
      </c>
      <c r="M113" s="187">
        <f t="shared" si="36"/>
        <v>100</v>
      </c>
      <c r="N113" s="149"/>
      <c r="O113" s="149"/>
    </row>
    <row r="114" spans="2:15" s="161" customFormat="1" ht="15.6">
      <c r="B114" s="179" t="s">
        <v>163</v>
      </c>
      <c r="C114" s="156" t="s">
        <v>117</v>
      </c>
      <c r="D114" s="157" t="s">
        <v>63</v>
      </c>
      <c r="E114" s="157" t="s">
        <v>79</v>
      </c>
      <c r="F114" s="164" t="s">
        <v>142</v>
      </c>
      <c r="G114" s="164" t="s">
        <v>164</v>
      </c>
      <c r="H114" s="164" t="s">
        <v>144</v>
      </c>
      <c r="I114" s="164" t="s">
        <v>145</v>
      </c>
      <c r="J114" s="157"/>
      <c r="K114" s="188">
        <f>K115</f>
        <v>100</v>
      </c>
      <c r="L114" s="188">
        <f t="shared" si="36"/>
        <v>100</v>
      </c>
      <c r="M114" s="188">
        <f t="shared" si="36"/>
        <v>100</v>
      </c>
      <c r="N114" s="160"/>
      <c r="O114" s="160"/>
    </row>
    <row r="115" spans="2:15" s="161" customFormat="1" ht="31.2">
      <c r="B115" s="162" t="s">
        <v>165</v>
      </c>
      <c r="C115" s="156" t="s">
        <v>117</v>
      </c>
      <c r="D115" s="157" t="s">
        <v>63</v>
      </c>
      <c r="E115" s="157" t="s">
        <v>79</v>
      </c>
      <c r="F115" s="164" t="s">
        <v>142</v>
      </c>
      <c r="G115" s="164" t="s">
        <v>164</v>
      </c>
      <c r="H115" s="164" t="s">
        <v>144</v>
      </c>
      <c r="I115" s="164" t="s">
        <v>166</v>
      </c>
      <c r="J115" s="157"/>
      <c r="K115" s="188">
        <f>K116</f>
        <v>100</v>
      </c>
      <c r="L115" s="188">
        <f t="shared" si="36"/>
        <v>100</v>
      </c>
      <c r="M115" s="188">
        <f t="shared" si="36"/>
        <v>100</v>
      </c>
      <c r="N115" s="160"/>
      <c r="O115" s="160"/>
    </row>
    <row r="116" spans="2:15" s="161" customFormat="1" ht="15.6">
      <c r="B116" s="162" t="s">
        <v>74</v>
      </c>
      <c r="C116" s="156" t="s">
        <v>117</v>
      </c>
      <c r="D116" s="157" t="s">
        <v>63</v>
      </c>
      <c r="E116" s="157" t="s">
        <v>79</v>
      </c>
      <c r="F116" s="164" t="s">
        <v>142</v>
      </c>
      <c r="G116" s="164" t="s">
        <v>164</v>
      </c>
      <c r="H116" s="164" t="s">
        <v>144</v>
      </c>
      <c r="I116" s="164" t="s">
        <v>166</v>
      </c>
      <c r="J116" s="157" t="s">
        <v>75</v>
      </c>
      <c r="K116" s="159">
        <f>K117</f>
        <v>100</v>
      </c>
      <c r="L116" s="159">
        <f t="shared" si="36"/>
        <v>100</v>
      </c>
      <c r="M116" s="159">
        <f t="shared" si="36"/>
        <v>100</v>
      </c>
      <c r="N116" s="160"/>
      <c r="O116" s="160"/>
    </row>
    <row r="117" spans="2:15" s="161" customFormat="1" ht="15.6">
      <c r="B117" s="162" t="s">
        <v>163</v>
      </c>
      <c r="C117" s="156" t="s">
        <v>117</v>
      </c>
      <c r="D117" s="157" t="s">
        <v>63</v>
      </c>
      <c r="E117" s="157" t="s">
        <v>79</v>
      </c>
      <c r="F117" s="164" t="s">
        <v>142</v>
      </c>
      <c r="G117" s="164" t="s">
        <v>164</v>
      </c>
      <c r="H117" s="164" t="s">
        <v>144</v>
      </c>
      <c r="I117" s="164" t="s">
        <v>166</v>
      </c>
      <c r="J117" s="157" t="s">
        <v>167</v>
      </c>
      <c r="K117" s="159">
        <f>100</f>
        <v>100</v>
      </c>
      <c r="L117" s="159">
        <f>100</f>
        <v>100</v>
      </c>
      <c r="M117" s="159">
        <f>100</f>
        <v>100</v>
      </c>
      <c r="N117" s="160"/>
      <c r="O117" s="160"/>
    </row>
    <row r="118" spans="2:15" s="30" customFormat="1" ht="31.2">
      <c r="B118" s="183" t="s">
        <v>80</v>
      </c>
      <c r="C118" s="146" t="s">
        <v>117</v>
      </c>
      <c r="D118" s="146" t="s">
        <v>63</v>
      </c>
      <c r="E118" s="146" t="s">
        <v>81</v>
      </c>
      <c r="F118" s="146"/>
      <c r="G118" s="146"/>
      <c r="H118" s="146"/>
      <c r="I118" s="146"/>
      <c r="J118" s="146"/>
      <c r="K118" s="148">
        <f>K119+K124+K131</f>
        <v>900</v>
      </c>
      <c r="L118" s="148">
        <f t="shared" ref="L118:M118" si="37">L119+L124+L131</f>
        <v>920</v>
      </c>
      <c r="M118" s="148">
        <f t="shared" si="37"/>
        <v>939.98290000000009</v>
      </c>
      <c r="N118" s="149"/>
      <c r="O118" s="149"/>
    </row>
    <row r="119" spans="2:15" s="30" customFormat="1" ht="31.2">
      <c r="B119" s="162" t="s">
        <v>178</v>
      </c>
      <c r="C119" s="157" t="s">
        <v>117</v>
      </c>
      <c r="D119" s="157" t="s">
        <v>63</v>
      </c>
      <c r="E119" s="157" t="s">
        <v>81</v>
      </c>
      <c r="F119" s="189">
        <v>91</v>
      </c>
      <c r="G119" s="189">
        <v>0</v>
      </c>
      <c r="H119" s="189" t="s">
        <v>144</v>
      </c>
      <c r="I119" s="157" t="s">
        <v>145</v>
      </c>
      <c r="J119" s="158"/>
      <c r="K119" s="190">
        <f>K120</f>
        <v>50</v>
      </c>
      <c r="L119" s="190">
        <f t="shared" ref="L119:M122" si="38">L120</f>
        <v>50</v>
      </c>
      <c r="M119" s="190">
        <f t="shared" si="38"/>
        <v>50</v>
      </c>
      <c r="N119" s="149"/>
      <c r="O119" s="149"/>
    </row>
    <row r="120" spans="2:15" s="30" customFormat="1" ht="46.8">
      <c r="B120" s="162" t="s">
        <v>82</v>
      </c>
      <c r="C120" s="157" t="s">
        <v>117</v>
      </c>
      <c r="D120" s="157" t="s">
        <v>63</v>
      </c>
      <c r="E120" s="157" t="s">
        <v>81</v>
      </c>
      <c r="F120" s="157">
        <v>91</v>
      </c>
      <c r="G120" s="157">
        <v>4</v>
      </c>
      <c r="H120" s="157" t="s">
        <v>144</v>
      </c>
      <c r="I120" s="157" t="s">
        <v>145</v>
      </c>
      <c r="J120" s="158"/>
      <c r="K120" s="190">
        <f>K121</f>
        <v>50</v>
      </c>
      <c r="L120" s="190">
        <f t="shared" si="38"/>
        <v>50</v>
      </c>
      <c r="M120" s="190">
        <f t="shared" si="38"/>
        <v>50</v>
      </c>
      <c r="N120" s="149"/>
      <c r="O120" s="149"/>
    </row>
    <row r="121" spans="2:15" s="30" customFormat="1" ht="31.2">
      <c r="B121" s="162" t="s">
        <v>200</v>
      </c>
      <c r="C121" s="157" t="s">
        <v>117</v>
      </c>
      <c r="D121" s="157" t="s">
        <v>63</v>
      </c>
      <c r="E121" s="157" t="s">
        <v>81</v>
      </c>
      <c r="F121" s="157" t="s">
        <v>179</v>
      </c>
      <c r="G121" s="157" t="s">
        <v>59</v>
      </c>
      <c r="H121" s="157" t="s">
        <v>144</v>
      </c>
      <c r="I121" s="157" t="s">
        <v>201</v>
      </c>
      <c r="J121" s="158"/>
      <c r="K121" s="190">
        <f>K122</f>
        <v>50</v>
      </c>
      <c r="L121" s="190">
        <f t="shared" si="38"/>
        <v>50</v>
      </c>
      <c r="M121" s="190">
        <f t="shared" si="38"/>
        <v>50</v>
      </c>
      <c r="N121" s="149"/>
      <c r="O121" s="149"/>
    </row>
    <row r="122" spans="2:15" s="30" customFormat="1" ht="15.6">
      <c r="B122" s="162" t="s">
        <v>74</v>
      </c>
      <c r="C122" s="157" t="s">
        <v>117</v>
      </c>
      <c r="D122" s="157" t="s">
        <v>63</v>
      </c>
      <c r="E122" s="157" t="s">
        <v>81</v>
      </c>
      <c r="F122" s="157" t="s">
        <v>179</v>
      </c>
      <c r="G122" s="157" t="s">
        <v>59</v>
      </c>
      <c r="H122" s="157" t="s">
        <v>144</v>
      </c>
      <c r="I122" s="157" t="s">
        <v>201</v>
      </c>
      <c r="J122" s="158" t="s">
        <v>75</v>
      </c>
      <c r="K122" s="190">
        <f>K123</f>
        <v>50</v>
      </c>
      <c r="L122" s="190">
        <f t="shared" si="38"/>
        <v>50</v>
      </c>
      <c r="M122" s="190">
        <f t="shared" si="38"/>
        <v>50</v>
      </c>
      <c r="N122" s="149"/>
      <c r="O122" s="149"/>
    </row>
    <row r="123" spans="2:15" s="30" customFormat="1" ht="31.2">
      <c r="B123" s="162" t="s">
        <v>76</v>
      </c>
      <c r="C123" s="157" t="s">
        <v>117</v>
      </c>
      <c r="D123" s="157" t="s">
        <v>63</v>
      </c>
      <c r="E123" s="157" t="s">
        <v>81</v>
      </c>
      <c r="F123" s="157" t="s">
        <v>179</v>
      </c>
      <c r="G123" s="157" t="s">
        <v>59</v>
      </c>
      <c r="H123" s="157" t="s">
        <v>144</v>
      </c>
      <c r="I123" s="157" t="s">
        <v>201</v>
      </c>
      <c r="J123" s="158" t="s">
        <v>77</v>
      </c>
      <c r="K123" s="190">
        <f>50</f>
        <v>50</v>
      </c>
      <c r="L123" s="190">
        <f>50</f>
        <v>50</v>
      </c>
      <c r="M123" s="190">
        <f>50</f>
        <v>50</v>
      </c>
      <c r="N123" s="149"/>
      <c r="O123" s="149"/>
    </row>
    <row r="124" spans="2:15" s="161" customFormat="1" ht="62.4">
      <c r="B124" s="191" t="s">
        <v>182</v>
      </c>
      <c r="C124" s="151" t="s">
        <v>117</v>
      </c>
      <c r="D124" s="192" t="s">
        <v>63</v>
      </c>
      <c r="E124" s="192" t="s">
        <v>81</v>
      </c>
      <c r="F124" s="147" t="s">
        <v>183</v>
      </c>
      <c r="G124" s="147" t="s">
        <v>143</v>
      </c>
      <c r="H124" s="147" t="s">
        <v>144</v>
      </c>
      <c r="I124" s="147" t="s">
        <v>145</v>
      </c>
      <c r="J124" s="192"/>
      <c r="K124" s="148">
        <f t="shared" ref="K124:M127" si="39">K125</f>
        <v>850</v>
      </c>
      <c r="L124" s="148">
        <f t="shared" si="39"/>
        <v>870</v>
      </c>
      <c r="M124" s="148">
        <f t="shared" si="39"/>
        <v>889.98290000000009</v>
      </c>
      <c r="N124" s="160"/>
      <c r="O124" s="160"/>
    </row>
    <row r="125" spans="2:15" s="161" customFormat="1" ht="78">
      <c r="B125" s="162" t="s">
        <v>184</v>
      </c>
      <c r="C125" s="156" t="s">
        <v>117</v>
      </c>
      <c r="D125" s="193" t="s">
        <v>63</v>
      </c>
      <c r="E125" s="193" t="s">
        <v>81</v>
      </c>
      <c r="F125" s="164" t="s">
        <v>183</v>
      </c>
      <c r="G125" s="164" t="s">
        <v>164</v>
      </c>
      <c r="H125" s="164" t="s">
        <v>144</v>
      </c>
      <c r="I125" s="164" t="s">
        <v>145</v>
      </c>
      <c r="J125" s="194"/>
      <c r="K125" s="159">
        <f t="shared" si="39"/>
        <v>850</v>
      </c>
      <c r="L125" s="159">
        <f t="shared" si="39"/>
        <v>870</v>
      </c>
      <c r="M125" s="159">
        <f t="shared" si="39"/>
        <v>889.98290000000009</v>
      </c>
      <c r="N125" s="160"/>
      <c r="O125" s="160"/>
    </row>
    <row r="126" spans="2:15" s="161" customFormat="1" ht="31.2">
      <c r="B126" s="162" t="s">
        <v>185</v>
      </c>
      <c r="C126" s="156" t="s">
        <v>117</v>
      </c>
      <c r="D126" s="193" t="s">
        <v>63</v>
      </c>
      <c r="E126" s="193" t="s">
        <v>81</v>
      </c>
      <c r="F126" s="164" t="s">
        <v>183</v>
      </c>
      <c r="G126" s="164" t="s">
        <v>164</v>
      </c>
      <c r="H126" s="164" t="s">
        <v>144</v>
      </c>
      <c r="I126" s="164" t="s">
        <v>186</v>
      </c>
      <c r="J126" s="194"/>
      <c r="K126" s="159">
        <f>K127+K129</f>
        <v>850</v>
      </c>
      <c r="L126" s="159">
        <f t="shared" ref="L126:M126" si="40">L127+L129</f>
        <v>870</v>
      </c>
      <c r="M126" s="159">
        <f t="shared" si="40"/>
        <v>889.98290000000009</v>
      </c>
      <c r="N126" s="160"/>
      <c r="O126" s="160"/>
    </row>
    <row r="127" spans="2:15" s="161" customFormat="1" ht="93.6">
      <c r="B127" s="162" t="s">
        <v>311</v>
      </c>
      <c r="C127" s="156" t="s">
        <v>117</v>
      </c>
      <c r="D127" s="193" t="s">
        <v>63</v>
      </c>
      <c r="E127" s="193" t="s">
        <v>81</v>
      </c>
      <c r="F127" s="164" t="s">
        <v>183</v>
      </c>
      <c r="G127" s="164" t="s">
        <v>164</v>
      </c>
      <c r="H127" s="164" t="s">
        <v>144</v>
      </c>
      <c r="I127" s="164" t="s">
        <v>186</v>
      </c>
      <c r="J127" s="158" t="s">
        <v>66</v>
      </c>
      <c r="K127" s="159">
        <f t="shared" si="39"/>
        <v>800</v>
      </c>
      <c r="L127" s="159">
        <f t="shared" si="39"/>
        <v>810</v>
      </c>
      <c r="M127" s="159">
        <f t="shared" si="39"/>
        <v>819.9629000000001</v>
      </c>
      <c r="N127" s="160"/>
      <c r="O127" s="160"/>
    </row>
    <row r="128" spans="2:15" s="161" customFormat="1" ht="31.2">
      <c r="B128" s="195" t="s">
        <v>127</v>
      </c>
      <c r="C128" s="156" t="s">
        <v>117</v>
      </c>
      <c r="D128" s="193" t="s">
        <v>63</v>
      </c>
      <c r="E128" s="193" t="s">
        <v>81</v>
      </c>
      <c r="F128" s="164" t="s">
        <v>183</v>
      </c>
      <c r="G128" s="164" t="s">
        <v>164</v>
      </c>
      <c r="H128" s="164" t="s">
        <v>144</v>
      </c>
      <c r="I128" s="164" t="s">
        <v>186</v>
      </c>
      <c r="J128" s="157" t="s">
        <v>128</v>
      </c>
      <c r="K128" s="190">
        <f>850-50</f>
        <v>800</v>
      </c>
      <c r="L128" s="248">
        <f>((800/12)*9+((800/12)*103.4%)*3)+3.2</f>
        <v>810</v>
      </c>
      <c r="M128" s="248">
        <f>((806.8/12)*9+((806.8/12)*103.7%)*3)+5.7</f>
        <v>819.9629000000001</v>
      </c>
      <c r="N128" s="160"/>
      <c r="O128" s="160"/>
    </row>
    <row r="129" spans="2:15" s="161" customFormat="1" ht="46.8">
      <c r="B129" s="196" t="s">
        <v>199</v>
      </c>
      <c r="C129" s="156" t="s">
        <v>117</v>
      </c>
      <c r="D129" s="193" t="s">
        <v>63</v>
      </c>
      <c r="E129" s="193" t="s">
        <v>81</v>
      </c>
      <c r="F129" s="164" t="s">
        <v>183</v>
      </c>
      <c r="G129" s="164" t="s">
        <v>164</v>
      </c>
      <c r="H129" s="164" t="s">
        <v>144</v>
      </c>
      <c r="I129" s="164" t="s">
        <v>186</v>
      </c>
      <c r="J129" s="157" t="s">
        <v>71</v>
      </c>
      <c r="K129" s="190">
        <f>K130</f>
        <v>50</v>
      </c>
      <c r="L129" s="190">
        <f t="shared" ref="L129:M129" si="41">L130</f>
        <v>60</v>
      </c>
      <c r="M129" s="190">
        <f t="shared" si="41"/>
        <v>70.02</v>
      </c>
      <c r="N129" s="160"/>
      <c r="O129" s="160"/>
    </row>
    <row r="130" spans="2:15" s="161" customFormat="1" ht="46.8">
      <c r="B130" s="196" t="s">
        <v>72</v>
      </c>
      <c r="C130" s="156" t="s">
        <v>117</v>
      </c>
      <c r="D130" s="193" t="s">
        <v>63</v>
      </c>
      <c r="E130" s="193" t="s">
        <v>81</v>
      </c>
      <c r="F130" s="164" t="s">
        <v>183</v>
      </c>
      <c r="G130" s="164" t="s">
        <v>164</v>
      </c>
      <c r="H130" s="164" t="s">
        <v>144</v>
      </c>
      <c r="I130" s="164" t="s">
        <v>186</v>
      </c>
      <c r="J130" s="157" t="s">
        <v>73</v>
      </c>
      <c r="K130" s="190">
        <f>50</f>
        <v>50</v>
      </c>
      <c r="L130" s="248">
        <f>(50*103.4%)+8.3</f>
        <v>60</v>
      </c>
      <c r="M130" s="248">
        <f>(60*103.7%)+7.8</f>
        <v>70.02</v>
      </c>
      <c r="N130" s="160"/>
      <c r="O130" s="160"/>
    </row>
    <row r="131" spans="2:15" s="161" customFormat="1" ht="31.2" hidden="1">
      <c r="B131" s="165" t="s">
        <v>141</v>
      </c>
      <c r="C131" s="156" t="s">
        <v>117</v>
      </c>
      <c r="D131" s="157" t="s">
        <v>63</v>
      </c>
      <c r="E131" s="157" t="s">
        <v>81</v>
      </c>
      <c r="F131" s="166" t="s">
        <v>142</v>
      </c>
      <c r="G131" s="166" t="s">
        <v>143</v>
      </c>
      <c r="H131" s="166" t="s">
        <v>144</v>
      </c>
      <c r="I131" s="166" t="s">
        <v>145</v>
      </c>
      <c r="J131" s="157"/>
      <c r="K131" s="159">
        <f>K132</f>
        <v>0</v>
      </c>
      <c r="L131" s="159">
        <f t="shared" ref="L131:M134" si="42">L132</f>
        <v>0</v>
      </c>
      <c r="M131" s="159">
        <f t="shared" si="42"/>
        <v>0</v>
      </c>
      <c r="N131" s="160"/>
      <c r="O131" s="160"/>
    </row>
    <row r="132" spans="2:15" s="161" customFormat="1" ht="31.2" hidden="1">
      <c r="B132" s="165" t="s">
        <v>248</v>
      </c>
      <c r="C132" s="156" t="s">
        <v>117</v>
      </c>
      <c r="D132" s="157" t="s">
        <v>63</v>
      </c>
      <c r="E132" s="157" t="s">
        <v>81</v>
      </c>
      <c r="F132" s="166" t="s">
        <v>142</v>
      </c>
      <c r="G132" s="166" t="s">
        <v>152</v>
      </c>
      <c r="H132" s="166" t="s">
        <v>144</v>
      </c>
      <c r="I132" s="166" t="s">
        <v>145</v>
      </c>
      <c r="J132" s="157"/>
      <c r="K132" s="159">
        <f>K133</f>
        <v>0</v>
      </c>
      <c r="L132" s="159">
        <f t="shared" si="42"/>
        <v>0</v>
      </c>
      <c r="M132" s="159">
        <f t="shared" si="42"/>
        <v>0</v>
      </c>
      <c r="N132" s="160"/>
      <c r="O132" s="160"/>
    </row>
    <row r="133" spans="2:15" s="30" customFormat="1" ht="15.6" hidden="1">
      <c r="B133" s="165" t="s">
        <v>249</v>
      </c>
      <c r="C133" s="156" t="s">
        <v>117</v>
      </c>
      <c r="D133" s="157" t="s">
        <v>63</v>
      </c>
      <c r="E133" s="157" t="s">
        <v>81</v>
      </c>
      <c r="F133" s="166" t="s">
        <v>142</v>
      </c>
      <c r="G133" s="166" t="s">
        <v>152</v>
      </c>
      <c r="H133" s="166" t="s">
        <v>144</v>
      </c>
      <c r="I133" s="166" t="s">
        <v>250</v>
      </c>
      <c r="J133" s="157"/>
      <c r="K133" s="159">
        <f>K134</f>
        <v>0</v>
      </c>
      <c r="L133" s="159">
        <f t="shared" si="42"/>
        <v>0</v>
      </c>
      <c r="M133" s="159">
        <f t="shared" si="42"/>
        <v>0</v>
      </c>
      <c r="N133" s="149"/>
      <c r="O133" s="149"/>
    </row>
    <row r="134" spans="2:15" s="30" customFormat="1" ht="15.6" hidden="1">
      <c r="B134" s="162" t="s">
        <v>74</v>
      </c>
      <c r="C134" s="156" t="s">
        <v>117</v>
      </c>
      <c r="D134" s="157" t="s">
        <v>63</v>
      </c>
      <c r="E134" s="157" t="s">
        <v>81</v>
      </c>
      <c r="F134" s="166" t="s">
        <v>142</v>
      </c>
      <c r="G134" s="166" t="s">
        <v>152</v>
      </c>
      <c r="H134" s="166" t="s">
        <v>144</v>
      </c>
      <c r="I134" s="166" t="s">
        <v>250</v>
      </c>
      <c r="J134" s="157" t="s">
        <v>75</v>
      </c>
      <c r="K134" s="159">
        <f>K135</f>
        <v>0</v>
      </c>
      <c r="L134" s="159">
        <f t="shared" si="42"/>
        <v>0</v>
      </c>
      <c r="M134" s="159">
        <f t="shared" si="42"/>
        <v>0</v>
      </c>
      <c r="N134" s="149"/>
      <c r="O134" s="149"/>
    </row>
    <row r="135" spans="2:15" s="30" customFormat="1" ht="15.6" hidden="1">
      <c r="B135" s="162" t="s">
        <v>251</v>
      </c>
      <c r="C135" s="156" t="s">
        <v>117</v>
      </c>
      <c r="D135" s="157" t="s">
        <v>63</v>
      </c>
      <c r="E135" s="157" t="s">
        <v>81</v>
      </c>
      <c r="F135" s="166" t="s">
        <v>142</v>
      </c>
      <c r="G135" s="166" t="s">
        <v>152</v>
      </c>
      <c r="H135" s="166" t="s">
        <v>144</v>
      </c>
      <c r="I135" s="166" t="s">
        <v>250</v>
      </c>
      <c r="J135" s="157" t="s">
        <v>252</v>
      </c>
      <c r="K135" s="159"/>
      <c r="L135" s="159"/>
      <c r="M135" s="159"/>
      <c r="N135" s="149"/>
      <c r="O135" s="149"/>
    </row>
    <row r="136" spans="2:15" s="30" customFormat="1" ht="31.2">
      <c r="B136" s="183" t="s">
        <v>118</v>
      </c>
      <c r="C136" s="146" t="s">
        <v>117</v>
      </c>
      <c r="D136" s="146" t="s">
        <v>86</v>
      </c>
      <c r="E136" s="146"/>
      <c r="F136" s="146"/>
      <c r="G136" s="146"/>
      <c r="H136" s="146"/>
      <c r="I136" s="146"/>
      <c r="J136" s="146"/>
      <c r="K136" s="148">
        <f>K137</f>
        <v>730</v>
      </c>
      <c r="L136" s="148">
        <f t="shared" ref="L136:M136" si="43">L137</f>
        <v>749.98</v>
      </c>
      <c r="M136" s="148">
        <f t="shared" si="43"/>
        <v>780.00409999999988</v>
      </c>
      <c r="N136" s="149"/>
      <c r="O136" s="149"/>
    </row>
    <row r="137" spans="2:15" s="30" customFormat="1" ht="46.8">
      <c r="B137" s="183" t="s">
        <v>119</v>
      </c>
      <c r="C137" s="146" t="s">
        <v>117</v>
      </c>
      <c r="D137" s="146" t="s">
        <v>86</v>
      </c>
      <c r="E137" s="146" t="s">
        <v>120</v>
      </c>
      <c r="F137" s="146"/>
      <c r="G137" s="146"/>
      <c r="H137" s="146"/>
      <c r="I137" s="146"/>
      <c r="J137" s="146"/>
      <c r="K137" s="148">
        <f>K138+K157</f>
        <v>730</v>
      </c>
      <c r="L137" s="148">
        <f t="shared" ref="L137:M137" si="44">L138+L157</f>
        <v>749.98</v>
      </c>
      <c r="M137" s="148">
        <f t="shared" si="44"/>
        <v>780.00409999999988</v>
      </c>
      <c r="N137" s="149"/>
      <c r="O137" s="149"/>
    </row>
    <row r="138" spans="2:15" s="30" customFormat="1" ht="140.4">
      <c r="B138" s="197" t="s">
        <v>275</v>
      </c>
      <c r="C138" s="146" t="s">
        <v>117</v>
      </c>
      <c r="D138" s="146" t="s">
        <v>86</v>
      </c>
      <c r="E138" s="146" t="s">
        <v>120</v>
      </c>
      <c r="F138" s="146">
        <v>79</v>
      </c>
      <c r="G138" s="146" t="s">
        <v>143</v>
      </c>
      <c r="H138" s="146" t="s">
        <v>144</v>
      </c>
      <c r="I138" s="146" t="s">
        <v>145</v>
      </c>
      <c r="J138" s="146"/>
      <c r="K138" s="148">
        <f>K139+K144+K149</f>
        <v>730</v>
      </c>
      <c r="L138" s="148">
        <f t="shared" ref="L138:M138" si="45">L139+L144+L149</f>
        <v>749.98</v>
      </c>
      <c r="M138" s="148">
        <f t="shared" si="45"/>
        <v>780.00409999999988</v>
      </c>
      <c r="N138" s="149"/>
      <c r="O138" s="149"/>
    </row>
    <row r="139" spans="2:15" s="30" customFormat="1" ht="124.8">
      <c r="B139" s="176" t="s">
        <v>276</v>
      </c>
      <c r="C139" s="157" t="s">
        <v>117</v>
      </c>
      <c r="D139" s="157" t="s">
        <v>86</v>
      </c>
      <c r="E139" s="157" t="s">
        <v>120</v>
      </c>
      <c r="F139" s="157" t="s">
        <v>168</v>
      </c>
      <c r="G139" s="157" t="s">
        <v>152</v>
      </c>
      <c r="H139" s="157" t="s">
        <v>144</v>
      </c>
      <c r="I139" s="157" t="s">
        <v>145</v>
      </c>
      <c r="J139" s="157"/>
      <c r="K139" s="159">
        <f>K140</f>
        <v>150</v>
      </c>
      <c r="L139" s="159">
        <f t="shared" ref="L139:M142" si="46">L140</f>
        <v>150</v>
      </c>
      <c r="M139" s="159">
        <f t="shared" si="46"/>
        <v>150</v>
      </c>
      <c r="N139" s="149"/>
      <c r="O139" s="149"/>
    </row>
    <row r="140" spans="2:15" s="30" customFormat="1" ht="46.8">
      <c r="B140" s="198" t="s">
        <v>169</v>
      </c>
      <c r="C140" s="157" t="s">
        <v>117</v>
      </c>
      <c r="D140" s="157" t="s">
        <v>86</v>
      </c>
      <c r="E140" s="157" t="s">
        <v>120</v>
      </c>
      <c r="F140" s="157" t="s">
        <v>168</v>
      </c>
      <c r="G140" s="157" t="s">
        <v>152</v>
      </c>
      <c r="H140" s="157" t="s">
        <v>86</v>
      </c>
      <c r="I140" s="199" t="s">
        <v>145</v>
      </c>
      <c r="J140" s="157"/>
      <c r="K140" s="159">
        <f>K141</f>
        <v>150</v>
      </c>
      <c r="L140" s="159">
        <f t="shared" si="46"/>
        <v>150</v>
      </c>
      <c r="M140" s="159">
        <f t="shared" si="46"/>
        <v>150</v>
      </c>
      <c r="N140" s="149"/>
      <c r="O140" s="149"/>
    </row>
    <row r="141" spans="2:15" s="30" customFormat="1" ht="31.2">
      <c r="B141" s="198" t="s">
        <v>213</v>
      </c>
      <c r="C141" s="157" t="s">
        <v>117</v>
      </c>
      <c r="D141" s="157" t="s">
        <v>86</v>
      </c>
      <c r="E141" s="157" t="s">
        <v>120</v>
      </c>
      <c r="F141" s="157" t="s">
        <v>168</v>
      </c>
      <c r="G141" s="157" t="s">
        <v>152</v>
      </c>
      <c r="H141" s="157" t="s">
        <v>86</v>
      </c>
      <c r="I141" s="199" t="s">
        <v>214</v>
      </c>
      <c r="J141" s="157"/>
      <c r="K141" s="159">
        <f>K142</f>
        <v>150</v>
      </c>
      <c r="L141" s="159">
        <f t="shared" si="46"/>
        <v>150</v>
      </c>
      <c r="M141" s="159">
        <f t="shared" si="46"/>
        <v>150</v>
      </c>
      <c r="N141" s="149"/>
      <c r="O141" s="149"/>
    </row>
    <row r="142" spans="2:15" s="30" customFormat="1" ht="46.8">
      <c r="B142" s="162" t="s">
        <v>199</v>
      </c>
      <c r="C142" s="157" t="s">
        <v>117</v>
      </c>
      <c r="D142" s="157" t="s">
        <v>86</v>
      </c>
      <c r="E142" s="157" t="s">
        <v>120</v>
      </c>
      <c r="F142" s="157" t="s">
        <v>168</v>
      </c>
      <c r="G142" s="157" t="s">
        <v>152</v>
      </c>
      <c r="H142" s="157" t="s">
        <v>86</v>
      </c>
      <c r="I142" s="199" t="s">
        <v>214</v>
      </c>
      <c r="J142" s="167">
        <v>200</v>
      </c>
      <c r="K142" s="159">
        <f>K143</f>
        <v>150</v>
      </c>
      <c r="L142" s="159">
        <f t="shared" si="46"/>
        <v>150</v>
      </c>
      <c r="M142" s="159">
        <f t="shared" si="46"/>
        <v>150</v>
      </c>
      <c r="N142" s="149"/>
      <c r="O142" s="149"/>
    </row>
    <row r="143" spans="2:15" s="30" customFormat="1" ht="46.8">
      <c r="B143" s="162" t="s">
        <v>72</v>
      </c>
      <c r="C143" s="157" t="s">
        <v>117</v>
      </c>
      <c r="D143" s="157" t="s">
        <v>86</v>
      </c>
      <c r="E143" s="157" t="s">
        <v>120</v>
      </c>
      <c r="F143" s="157" t="s">
        <v>168</v>
      </c>
      <c r="G143" s="157" t="s">
        <v>152</v>
      </c>
      <c r="H143" s="157" t="s">
        <v>86</v>
      </c>
      <c r="I143" s="199" t="s">
        <v>214</v>
      </c>
      <c r="J143" s="167">
        <v>240</v>
      </c>
      <c r="K143" s="159">
        <f>150</f>
        <v>150</v>
      </c>
      <c r="L143" s="159">
        <f>150</f>
        <v>150</v>
      </c>
      <c r="M143" s="159">
        <f>150</f>
        <v>150</v>
      </c>
      <c r="N143" s="149"/>
      <c r="O143" s="149"/>
    </row>
    <row r="144" spans="2:15" s="30" customFormat="1" ht="93.6">
      <c r="B144" s="176" t="s">
        <v>202</v>
      </c>
      <c r="C144" s="157" t="s">
        <v>117</v>
      </c>
      <c r="D144" s="157" t="s">
        <v>86</v>
      </c>
      <c r="E144" s="157" t="s">
        <v>120</v>
      </c>
      <c r="F144" s="157" t="s">
        <v>168</v>
      </c>
      <c r="G144" s="157" t="s">
        <v>158</v>
      </c>
      <c r="H144" s="157" t="s">
        <v>144</v>
      </c>
      <c r="I144" s="157" t="s">
        <v>145</v>
      </c>
      <c r="J144" s="157"/>
      <c r="K144" s="159">
        <f>K145</f>
        <v>570</v>
      </c>
      <c r="L144" s="159">
        <f t="shared" ref="L144:M147" si="47">L145</f>
        <v>589.98</v>
      </c>
      <c r="M144" s="159">
        <f t="shared" si="47"/>
        <v>620.00409999999988</v>
      </c>
      <c r="N144" s="149"/>
      <c r="O144" s="149"/>
    </row>
    <row r="145" spans="2:15" s="30" customFormat="1" ht="62.4">
      <c r="B145" s="198" t="s">
        <v>170</v>
      </c>
      <c r="C145" s="157" t="s">
        <v>117</v>
      </c>
      <c r="D145" s="157" t="s">
        <v>86</v>
      </c>
      <c r="E145" s="157" t="s">
        <v>120</v>
      </c>
      <c r="F145" s="157" t="s">
        <v>168</v>
      </c>
      <c r="G145" s="157" t="s">
        <v>158</v>
      </c>
      <c r="H145" s="157" t="s">
        <v>63</v>
      </c>
      <c r="I145" s="199" t="s">
        <v>145</v>
      </c>
      <c r="J145" s="157"/>
      <c r="K145" s="159">
        <f>K146</f>
        <v>570</v>
      </c>
      <c r="L145" s="159">
        <f t="shared" si="47"/>
        <v>589.98</v>
      </c>
      <c r="M145" s="159">
        <f t="shared" si="47"/>
        <v>620.00409999999988</v>
      </c>
      <c r="N145" s="149"/>
      <c r="O145" s="149"/>
    </row>
    <row r="146" spans="2:15" s="30" customFormat="1" ht="62.4">
      <c r="B146" s="198" t="s">
        <v>215</v>
      </c>
      <c r="C146" s="157" t="s">
        <v>117</v>
      </c>
      <c r="D146" s="157" t="s">
        <v>86</v>
      </c>
      <c r="E146" s="157" t="s">
        <v>120</v>
      </c>
      <c r="F146" s="157" t="s">
        <v>168</v>
      </c>
      <c r="G146" s="157" t="s">
        <v>158</v>
      </c>
      <c r="H146" s="157" t="s">
        <v>63</v>
      </c>
      <c r="I146" s="199" t="s">
        <v>203</v>
      </c>
      <c r="J146" s="157"/>
      <c r="K146" s="159">
        <f>K147</f>
        <v>570</v>
      </c>
      <c r="L146" s="159">
        <f t="shared" si="47"/>
        <v>589.98</v>
      </c>
      <c r="M146" s="159">
        <f t="shared" si="47"/>
        <v>620.00409999999988</v>
      </c>
      <c r="N146" s="149"/>
      <c r="O146" s="149"/>
    </row>
    <row r="147" spans="2:15" s="30" customFormat="1" ht="46.8">
      <c r="B147" s="162" t="s">
        <v>148</v>
      </c>
      <c r="C147" s="157" t="s">
        <v>117</v>
      </c>
      <c r="D147" s="157" t="s">
        <v>86</v>
      </c>
      <c r="E147" s="157" t="s">
        <v>120</v>
      </c>
      <c r="F147" s="157" t="s">
        <v>168</v>
      </c>
      <c r="G147" s="157" t="s">
        <v>158</v>
      </c>
      <c r="H147" s="157" t="s">
        <v>63</v>
      </c>
      <c r="I147" s="199" t="s">
        <v>203</v>
      </c>
      <c r="J147" s="167">
        <v>200</v>
      </c>
      <c r="K147" s="159">
        <f>K148</f>
        <v>570</v>
      </c>
      <c r="L147" s="159">
        <f t="shared" si="47"/>
        <v>589.98</v>
      </c>
      <c r="M147" s="159">
        <f t="shared" si="47"/>
        <v>620.00409999999988</v>
      </c>
      <c r="N147" s="149"/>
      <c r="O147" s="149"/>
    </row>
    <row r="148" spans="2:15" s="30" customFormat="1" ht="46.8">
      <c r="B148" s="162" t="s">
        <v>72</v>
      </c>
      <c r="C148" s="157" t="s">
        <v>117</v>
      </c>
      <c r="D148" s="157" t="s">
        <v>86</v>
      </c>
      <c r="E148" s="157" t="s">
        <v>120</v>
      </c>
      <c r="F148" s="157" t="s">
        <v>168</v>
      </c>
      <c r="G148" s="157" t="s">
        <v>158</v>
      </c>
      <c r="H148" s="157" t="s">
        <v>63</v>
      </c>
      <c r="I148" s="199" t="s">
        <v>203</v>
      </c>
      <c r="J148" s="167">
        <v>240</v>
      </c>
      <c r="K148" s="159">
        <f>570</f>
        <v>570</v>
      </c>
      <c r="L148" s="248">
        <f>(570*103.4%)+0.6</f>
        <v>589.98</v>
      </c>
      <c r="M148" s="248">
        <f>(589.3*103.7%)+8.9</f>
        <v>620.00409999999988</v>
      </c>
      <c r="N148" s="149"/>
      <c r="O148" s="149"/>
    </row>
    <row r="149" spans="2:15" s="30" customFormat="1" ht="109.2">
      <c r="B149" s="176" t="s">
        <v>216</v>
      </c>
      <c r="C149" s="157" t="s">
        <v>117</v>
      </c>
      <c r="D149" s="157" t="s">
        <v>86</v>
      </c>
      <c r="E149" s="157" t="s">
        <v>120</v>
      </c>
      <c r="F149" s="157" t="s">
        <v>168</v>
      </c>
      <c r="G149" s="157" t="s">
        <v>58</v>
      </c>
      <c r="H149" s="157" t="s">
        <v>144</v>
      </c>
      <c r="I149" s="157" t="s">
        <v>145</v>
      </c>
      <c r="J149" s="157"/>
      <c r="K149" s="159">
        <f>K150</f>
        <v>10</v>
      </c>
      <c r="L149" s="159">
        <f t="shared" ref="L149:M149" si="48">L150</f>
        <v>10</v>
      </c>
      <c r="M149" s="159">
        <f t="shared" si="48"/>
        <v>10</v>
      </c>
      <c r="N149" s="149"/>
      <c r="O149" s="149"/>
    </row>
    <row r="150" spans="2:15" s="30" customFormat="1" ht="46.8">
      <c r="B150" s="198" t="s">
        <v>171</v>
      </c>
      <c r="C150" s="157" t="s">
        <v>117</v>
      </c>
      <c r="D150" s="157" t="s">
        <v>86</v>
      </c>
      <c r="E150" s="157" t="s">
        <v>120</v>
      </c>
      <c r="F150" s="157" t="s">
        <v>168</v>
      </c>
      <c r="G150" s="157" t="s">
        <v>58</v>
      </c>
      <c r="H150" s="157" t="s">
        <v>85</v>
      </c>
      <c r="I150" s="199" t="s">
        <v>145</v>
      </c>
      <c r="J150" s="157"/>
      <c r="K150" s="159">
        <f>K151+K154</f>
        <v>10</v>
      </c>
      <c r="L150" s="159">
        <f t="shared" ref="L150:M150" si="49">L151+L154</f>
        <v>10</v>
      </c>
      <c r="M150" s="159">
        <f t="shared" si="49"/>
        <v>10</v>
      </c>
      <c r="N150" s="149"/>
      <c r="O150" s="149"/>
    </row>
    <row r="151" spans="2:15" s="30" customFormat="1" ht="62.4" hidden="1">
      <c r="B151" s="198" t="s">
        <v>217</v>
      </c>
      <c r="C151" s="157" t="s">
        <v>117</v>
      </c>
      <c r="D151" s="157" t="s">
        <v>86</v>
      </c>
      <c r="E151" s="157" t="s">
        <v>120</v>
      </c>
      <c r="F151" s="157" t="s">
        <v>168</v>
      </c>
      <c r="G151" s="157" t="s">
        <v>58</v>
      </c>
      <c r="H151" s="157" t="s">
        <v>85</v>
      </c>
      <c r="I151" s="199" t="s">
        <v>218</v>
      </c>
      <c r="J151" s="157"/>
      <c r="K151" s="159">
        <f>K152</f>
        <v>0</v>
      </c>
      <c r="L151" s="159">
        <f t="shared" ref="L151:M152" si="50">L152</f>
        <v>0</v>
      </c>
      <c r="M151" s="159">
        <f t="shared" si="50"/>
        <v>0</v>
      </c>
      <c r="N151" s="149"/>
      <c r="O151" s="149"/>
    </row>
    <row r="152" spans="2:15" s="30" customFormat="1" ht="46.8" hidden="1">
      <c r="B152" s="162" t="s">
        <v>148</v>
      </c>
      <c r="C152" s="157" t="s">
        <v>117</v>
      </c>
      <c r="D152" s="157" t="s">
        <v>86</v>
      </c>
      <c r="E152" s="157" t="s">
        <v>120</v>
      </c>
      <c r="F152" s="157" t="s">
        <v>168</v>
      </c>
      <c r="G152" s="157" t="s">
        <v>58</v>
      </c>
      <c r="H152" s="157" t="s">
        <v>85</v>
      </c>
      <c r="I152" s="199" t="s">
        <v>218</v>
      </c>
      <c r="J152" s="167">
        <v>200</v>
      </c>
      <c r="K152" s="159">
        <f>K153</f>
        <v>0</v>
      </c>
      <c r="L152" s="159">
        <f t="shared" si="50"/>
        <v>0</v>
      </c>
      <c r="M152" s="159">
        <f t="shared" si="50"/>
        <v>0</v>
      </c>
      <c r="N152" s="149"/>
      <c r="O152" s="149"/>
    </row>
    <row r="153" spans="2:15" s="30" customFormat="1" ht="46.8" hidden="1">
      <c r="B153" s="162" t="s">
        <v>72</v>
      </c>
      <c r="C153" s="157" t="s">
        <v>117</v>
      </c>
      <c r="D153" s="157" t="s">
        <v>86</v>
      </c>
      <c r="E153" s="157" t="s">
        <v>120</v>
      </c>
      <c r="F153" s="157" t="s">
        <v>168</v>
      </c>
      <c r="G153" s="157" t="s">
        <v>58</v>
      </c>
      <c r="H153" s="157" t="s">
        <v>85</v>
      </c>
      <c r="I153" s="199" t="s">
        <v>218</v>
      </c>
      <c r="J153" s="167">
        <v>240</v>
      </c>
      <c r="K153" s="159">
        <f>0</f>
        <v>0</v>
      </c>
      <c r="L153" s="159">
        <f>0</f>
        <v>0</v>
      </c>
      <c r="M153" s="159">
        <f>0</f>
        <v>0</v>
      </c>
      <c r="N153" s="149"/>
      <c r="O153" s="149"/>
    </row>
    <row r="154" spans="2:15" s="30" customFormat="1" ht="46.8">
      <c r="B154" s="198" t="s">
        <v>219</v>
      </c>
      <c r="C154" s="157" t="s">
        <v>117</v>
      </c>
      <c r="D154" s="157" t="s">
        <v>86</v>
      </c>
      <c r="E154" s="157" t="s">
        <v>120</v>
      </c>
      <c r="F154" s="157" t="s">
        <v>168</v>
      </c>
      <c r="G154" s="157" t="s">
        <v>58</v>
      </c>
      <c r="H154" s="157" t="s">
        <v>85</v>
      </c>
      <c r="I154" s="199" t="s">
        <v>220</v>
      </c>
      <c r="J154" s="157"/>
      <c r="K154" s="159">
        <f>K155</f>
        <v>10</v>
      </c>
      <c r="L154" s="159">
        <f t="shared" ref="L154:M155" si="51">L155</f>
        <v>10</v>
      </c>
      <c r="M154" s="159">
        <f t="shared" si="51"/>
        <v>10</v>
      </c>
      <c r="N154" s="149"/>
      <c r="O154" s="149"/>
    </row>
    <row r="155" spans="2:15" s="30" customFormat="1" ht="46.8">
      <c r="B155" s="162" t="s">
        <v>148</v>
      </c>
      <c r="C155" s="157" t="s">
        <v>117</v>
      </c>
      <c r="D155" s="157" t="s">
        <v>86</v>
      </c>
      <c r="E155" s="157" t="s">
        <v>120</v>
      </c>
      <c r="F155" s="157" t="s">
        <v>168</v>
      </c>
      <c r="G155" s="157" t="s">
        <v>58</v>
      </c>
      <c r="H155" s="157" t="s">
        <v>85</v>
      </c>
      <c r="I155" s="199" t="s">
        <v>220</v>
      </c>
      <c r="J155" s="167">
        <v>200</v>
      </c>
      <c r="K155" s="159">
        <f>K156</f>
        <v>10</v>
      </c>
      <c r="L155" s="159">
        <f t="shared" si="51"/>
        <v>10</v>
      </c>
      <c r="M155" s="159">
        <f t="shared" si="51"/>
        <v>10</v>
      </c>
      <c r="N155" s="149"/>
      <c r="O155" s="149"/>
    </row>
    <row r="156" spans="2:15" s="30" customFormat="1" ht="46.8">
      <c r="B156" s="162" t="s">
        <v>72</v>
      </c>
      <c r="C156" s="157" t="s">
        <v>117</v>
      </c>
      <c r="D156" s="157" t="s">
        <v>86</v>
      </c>
      <c r="E156" s="157" t="s">
        <v>120</v>
      </c>
      <c r="F156" s="157" t="s">
        <v>168</v>
      </c>
      <c r="G156" s="157" t="s">
        <v>58</v>
      </c>
      <c r="H156" s="157" t="s">
        <v>85</v>
      </c>
      <c r="I156" s="199" t="s">
        <v>220</v>
      </c>
      <c r="J156" s="167">
        <v>240</v>
      </c>
      <c r="K156" s="159">
        <f>10</f>
        <v>10</v>
      </c>
      <c r="L156" s="159">
        <f>10</f>
        <v>10</v>
      </c>
      <c r="M156" s="159">
        <f>10</f>
        <v>10</v>
      </c>
      <c r="N156" s="149"/>
      <c r="O156" s="149"/>
    </row>
    <row r="157" spans="2:15" s="30" customFormat="1" ht="31.2" hidden="1">
      <c r="B157" s="165" t="s">
        <v>141</v>
      </c>
      <c r="C157" s="157" t="s">
        <v>117</v>
      </c>
      <c r="D157" s="157" t="s">
        <v>86</v>
      </c>
      <c r="E157" s="157" t="s">
        <v>120</v>
      </c>
      <c r="F157" s="166" t="s">
        <v>142</v>
      </c>
      <c r="G157" s="166" t="s">
        <v>143</v>
      </c>
      <c r="H157" s="166" t="s">
        <v>144</v>
      </c>
      <c r="I157" s="166" t="s">
        <v>145</v>
      </c>
      <c r="J157" s="157"/>
      <c r="K157" s="159">
        <f>K158</f>
        <v>0</v>
      </c>
      <c r="L157" s="159">
        <f t="shared" ref="L157:M160" si="52">L158</f>
        <v>0</v>
      </c>
      <c r="M157" s="159">
        <f t="shared" si="52"/>
        <v>0</v>
      </c>
      <c r="N157" s="149"/>
      <c r="O157" s="149"/>
    </row>
    <row r="158" spans="2:15" s="30" customFormat="1" ht="31.2" hidden="1">
      <c r="B158" s="165" t="s">
        <v>248</v>
      </c>
      <c r="C158" s="157" t="s">
        <v>117</v>
      </c>
      <c r="D158" s="157" t="s">
        <v>86</v>
      </c>
      <c r="E158" s="157" t="s">
        <v>120</v>
      </c>
      <c r="F158" s="166" t="s">
        <v>142</v>
      </c>
      <c r="G158" s="166" t="s">
        <v>152</v>
      </c>
      <c r="H158" s="166" t="s">
        <v>144</v>
      </c>
      <c r="I158" s="166" t="s">
        <v>145</v>
      </c>
      <c r="J158" s="157"/>
      <c r="K158" s="159">
        <f>K159</f>
        <v>0</v>
      </c>
      <c r="L158" s="159">
        <f t="shared" si="52"/>
        <v>0</v>
      </c>
      <c r="M158" s="159">
        <f t="shared" si="52"/>
        <v>0</v>
      </c>
      <c r="N158" s="149"/>
      <c r="O158" s="149"/>
    </row>
    <row r="159" spans="2:15" s="30" customFormat="1" ht="31.2" hidden="1">
      <c r="B159" s="165" t="s">
        <v>312</v>
      </c>
      <c r="C159" s="157" t="s">
        <v>117</v>
      </c>
      <c r="D159" s="157" t="s">
        <v>86</v>
      </c>
      <c r="E159" s="157" t="s">
        <v>120</v>
      </c>
      <c r="F159" s="166" t="s">
        <v>142</v>
      </c>
      <c r="G159" s="166" t="s">
        <v>152</v>
      </c>
      <c r="H159" s="166" t="s">
        <v>144</v>
      </c>
      <c r="I159" s="200" t="s">
        <v>313</v>
      </c>
      <c r="J159" s="157"/>
      <c r="K159" s="159">
        <f>K160</f>
        <v>0</v>
      </c>
      <c r="L159" s="159">
        <f t="shared" si="52"/>
        <v>0</v>
      </c>
      <c r="M159" s="159">
        <f t="shared" si="52"/>
        <v>0</v>
      </c>
      <c r="N159" s="149"/>
      <c r="O159" s="149"/>
    </row>
    <row r="160" spans="2:15" s="30" customFormat="1" ht="15.6" hidden="1">
      <c r="B160" s="162" t="s">
        <v>74</v>
      </c>
      <c r="C160" s="157" t="s">
        <v>117</v>
      </c>
      <c r="D160" s="157" t="s">
        <v>86</v>
      </c>
      <c r="E160" s="157" t="s">
        <v>120</v>
      </c>
      <c r="F160" s="166" t="s">
        <v>142</v>
      </c>
      <c r="G160" s="166" t="s">
        <v>152</v>
      </c>
      <c r="H160" s="166" t="s">
        <v>144</v>
      </c>
      <c r="I160" s="200" t="s">
        <v>313</v>
      </c>
      <c r="J160" s="157" t="s">
        <v>75</v>
      </c>
      <c r="K160" s="159">
        <f>K161</f>
        <v>0</v>
      </c>
      <c r="L160" s="159">
        <f t="shared" si="52"/>
        <v>0</v>
      </c>
      <c r="M160" s="159">
        <f t="shared" si="52"/>
        <v>0</v>
      </c>
      <c r="N160" s="149"/>
      <c r="O160" s="149"/>
    </row>
    <row r="161" spans="2:15" s="30" customFormat="1" ht="31.2" hidden="1">
      <c r="B161" s="162" t="s">
        <v>76</v>
      </c>
      <c r="C161" s="157" t="s">
        <v>117</v>
      </c>
      <c r="D161" s="157" t="s">
        <v>86</v>
      </c>
      <c r="E161" s="157" t="s">
        <v>120</v>
      </c>
      <c r="F161" s="166" t="s">
        <v>142</v>
      </c>
      <c r="G161" s="166" t="s">
        <v>152</v>
      </c>
      <c r="H161" s="166" t="s">
        <v>144</v>
      </c>
      <c r="I161" s="200" t="s">
        <v>313</v>
      </c>
      <c r="J161" s="157" t="s">
        <v>77</v>
      </c>
      <c r="K161" s="159"/>
      <c r="L161" s="159"/>
      <c r="M161" s="159"/>
      <c r="N161" s="149"/>
      <c r="O161" s="149"/>
    </row>
    <row r="162" spans="2:15" s="30" customFormat="1" ht="15.6">
      <c r="B162" s="183" t="s">
        <v>121</v>
      </c>
      <c r="C162" s="146" t="s">
        <v>117</v>
      </c>
      <c r="D162" s="146" t="s">
        <v>64</v>
      </c>
      <c r="E162" s="146"/>
      <c r="F162" s="154"/>
      <c r="G162" s="154"/>
      <c r="H162" s="154"/>
      <c r="I162" s="154"/>
      <c r="J162" s="154"/>
      <c r="K162" s="148">
        <f>K163+K170</f>
        <v>6009.1</v>
      </c>
      <c r="L162" s="148">
        <f t="shared" ref="L162:M162" si="53">L163+L170</f>
        <v>7982.7</v>
      </c>
      <c r="M162" s="148">
        <f t="shared" si="53"/>
        <v>10070.6</v>
      </c>
      <c r="N162" s="149"/>
      <c r="O162" s="149"/>
    </row>
    <row r="163" spans="2:15" s="30" customFormat="1" ht="15.6">
      <c r="B163" s="183" t="s">
        <v>314</v>
      </c>
      <c r="C163" s="146" t="s">
        <v>117</v>
      </c>
      <c r="D163" s="146" t="s">
        <v>64</v>
      </c>
      <c r="E163" s="146" t="s">
        <v>284</v>
      </c>
      <c r="F163" s="154"/>
      <c r="G163" s="154"/>
      <c r="H163" s="154"/>
      <c r="I163" s="154"/>
      <c r="J163" s="154"/>
      <c r="K163" s="148">
        <f t="shared" ref="K163:M168" si="54">K164</f>
        <v>200</v>
      </c>
      <c r="L163" s="148">
        <f t="shared" si="54"/>
        <v>200</v>
      </c>
      <c r="M163" s="148">
        <f t="shared" si="54"/>
        <v>200</v>
      </c>
      <c r="N163" s="149"/>
      <c r="O163" s="149"/>
    </row>
    <row r="164" spans="2:15" s="30" customFormat="1" ht="62.4">
      <c r="B164" s="201" t="s">
        <v>221</v>
      </c>
      <c r="C164" s="146" t="s">
        <v>117</v>
      </c>
      <c r="D164" s="146" t="s">
        <v>64</v>
      </c>
      <c r="E164" s="146" t="s">
        <v>284</v>
      </c>
      <c r="F164" s="202" t="s">
        <v>172</v>
      </c>
      <c r="G164" s="202" t="s">
        <v>143</v>
      </c>
      <c r="H164" s="202" t="s">
        <v>144</v>
      </c>
      <c r="I164" s="202" t="s">
        <v>145</v>
      </c>
      <c r="J164" s="154"/>
      <c r="K164" s="148">
        <f t="shared" si="54"/>
        <v>200</v>
      </c>
      <c r="L164" s="148">
        <f t="shared" si="54"/>
        <v>200</v>
      </c>
      <c r="M164" s="148">
        <f t="shared" si="54"/>
        <v>200</v>
      </c>
      <c r="N164" s="149"/>
      <c r="O164" s="149"/>
    </row>
    <row r="165" spans="2:15" s="161" customFormat="1" ht="31.2">
      <c r="B165" s="162" t="s">
        <v>315</v>
      </c>
      <c r="C165" s="157" t="s">
        <v>117</v>
      </c>
      <c r="D165" s="157" t="s">
        <v>64</v>
      </c>
      <c r="E165" s="157" t="s">
        <v>284</v>
      </c>
      <c r="F165" s="158" t="s">
        <v>172</v>
      </c>
      <c r="G165" s="158" t="s">
        <v>59</v>
      </c>
      <c r="H165" s="199" t="s">
        <v>144</v>
      </c>
      <c r="I165" s="199" t="s">
        <v>145</v>
      </c>
      <c r="J165" s="158"/>
      <c r="K165" s="159">
        <f t="shared" si="54"/>
        <v>200</v>
      </c>
      <c r="L165" s="159">
        <f t="shared" si="54"/>
        <v>200</v>
      </c>
      <c r="M165" s="159">
        <f t="shared" si="54"/>
        <v>200</v>
      </c>
      <c r="N165" s="160"/>
      <c r="O165" s="160"/>
    </row>
    <row r="166" spans="2:15" s="30" customFormat="1" ht="93.6">
      <c r="B166" s="162" t="s">
        <v>316</v>
      </c>
      <c r="C166" s="157" t="s">
        <v>117</v>
      </c>
      <c r="D166" s="157" t="s">
        <v>64</v>
      </c>
      <c r="E166" s="157" t="s">
        <v>284</v>
      </c>
      <c r="F166" s="199" t="s">
        <v>172</v>
      </c>
      <c r="G166" s="199" t="s">
        <v>59</v>
      </c>
      <c r="H166" s="199" t="s">
        <v>85</v>
      </c>
      <c r="I166" s="199" t="s">
        <v>145</v>
      </c>
      <c r="J166" s="154"/>
      <c r="K166" s="159">
        <f t="shared" si="54"/>
        <v>200</v>
      </c>
      <c r="L166" s="159">
        <f t="shared" si="54"/>
        <v>200</v>
      </c>
      <c r="M166" s="159">
        <f t="shared" si="54"/>
        <v>200</v>
      </c>
      <c r="N166" s="149"/>
      <c r="O166" s="149"/>
    </row>
    <row r="167" spans="2:15" s="30" customFormat="1" ht="78">
      <c r="B167" s="203" t="s">
        <v>317</v>
      </c>
      <c r="C167" s="157" t="s">
        <v>117</v>
      </c>
      <c r="D167" s="157" t="s">
        <v>64</v>
      </c>
      <c r="E167" s="157" t="s">
        <v>284</v>
      </c>
      <c r="F167" s="204" t="s">
        <v>172</v>
      </c>
      <c r="G167" s="204" t="s">
        <v>59</v>
      </c>
      <c r="H167" s="204" t="s">
        <v>85</v>
      </c>
      <c r="I167" s="204" t="s">
        <v>318</v>
      </c>
      <c r="J167" s="154"/>
      <c r="K167" s="159">
        <f t="shared" si="54"/>
        <v>200</v>
      </c>
      <c r="L167" s="159">
        <f t="shared" si="54"/>
        <v>200</v>
      </c>
      <c r="M167" s="159">
        <f t="shared" si="54"/>
        <v>200</v>
      </c>
      <c r="N167" s="149"/>
      <c r="O167" s="149"/>
    </row>
    <row r="168" spans="2:15" s="30" customFormat="1" ht="15.6">
      <c r="B168" s="162" t="s">
        <v>74</v>
      </c>
      <c r="C168" s="157" t="s">
        <v>117</v>
      </c>
      <c r="D168" s="157" t="s">
        <v>64</v>
      </c>
      <c r="E168" s="157" t="s">
        <v>284</v>
      </c>
      <c r="F168" s="204" t="s">
        <v>172</v>
      </c>
      <c r="G168" s="204" t="s">
        <v>59</v>
      </c>
      <c r="H168" s="204" t="s">
        <v>85</v>
      </c>
      <c r="I168" s="204" t="s">
        <v>318</v>
      </c>
      <c r="J168" s="158" t="s">
        <v>75</v>
      </c>
      <c r="K168" s="159">
        <f t="shared" si="54"/>
        <v>200</v>
      </c>
      <c r="L168" s="159">
        <f t="shared" si="54"/>
        <v>200</v>
      </c>
      <c r="M168" s="159">
        <f t="shared" si="54"/>
        <v>200</v>
      </c>
      <c r="N168" s="149"/>
      <c r="O168" s="149"/>
    </row>
    <row r="169" spans="2:15" s="30" customFormat="1" ht="78">
      <c r="B169" s="162" t="s">
        <v>319</v>
      </c>
      <c r="C169" s="157" t="s">
        <v>117</v>
      </c>
      <c r="D169" s="157" t="s">
        <v>64</v>
      </c>
      <c r="E169" s="157" t="s">
        <v>284</v>
      </c>
      <c r="F169" s="204" t="s">
        <v>172</v>
      </c>
      <c r="G169" s="204" t="s">
        <v>59</v>
      </c>
      <c r="H169" s="204" t="s">
        <v>85</v>
      </c>
      <c r="I169" s="204" t="s">
        <v>318</v>
      </c>
      <c r="J169" s="158" t="s">
        <v>93</v>
      </c>
      <c r="K169" s="159">
        <f>200</f>
        <v>200</v>
      </c>
      <c r="L169" s="159">
        <f>200</f>
        <v>200</v>
      </c>
      <c r="M169" s="159">
        <f>200</f>
        <v>200</v>
      </c>
      <c r="N169" s="149"/>
      <c r="O169" s="149"/>
    </row>
    <row r="170" spans="2:15" s="30" customFormat="1" ht="15.6">
      <c r="B170" s="183" t="s">
        <v>88</v>
      </c>
      <c r="C170" s="146" t="s">
        <v>117</v>
      </c>
      <c r="D170" s="146" t="s">
        <v>64</v>
      </c>
      <c r="E170" s="146" t="s">
        <v>87</v>
      </c>
      <c r="F170" s="146"/>
      <c r="G170" s="146"/>
      <c r="H170" s="146"/>
      <c r="I170" s="146"/>
      <c r="J170" s="146"/>
      <c r="K170" s="148">
        <f>K171+K191</f>
        <v>5809.1</v>
      </c>
      <c r="L170" s="148">
        <f>L171+L191</f>
        <v>7782.7</v>
      </c>
      <c r="M170" s="148">
        <f>M171+M191</f>
        <v>9870.6</v>
      </c>
      <c r="N170" s="149"/>
      <c r="O170" s="149"/>
    </row>
    <row r="171" spans="2:15" s="30" customFormat="1" ht="62.4">
      <c r="B171" s="201" t="s">
        <v>221</v>
      </c>
      <c r="C171" s="146" t="s">
        <v>117</v>
      </c>
      <c r="D171" s="146" t="s">
        <v>64</v>
      </c>
      <c r="E171" s="146" t="s">
        <v>87</v>
      </c>
      <c r="F171" s="202" t="s">
        <v>172</v>
      </c>
      <c r="G171" s="202" t="s">
        <v>143</v>
      </c>
      <c r="H171" s="202" t="s">
        <v>144</v>
      </c>
      <c r="I171" s="202" t="s">
        <v>145</v>
      </c>
      <c r="J171" s="154"/>
      <c r="K171" s="148">
        <f t="shared" ref="K171:M175" si="55">K172</f>
        <v>5809.1</v>
      </c>
      <c r="L171" s="148">
        <f t="shared" si="55"/>
        <v>7782.7</v>
      </c>
      <c r="M171" s="148">
        <f t="shared" si="55"/>
        <v>9870.6</v>
      </c>
      <c r="N171" s="149"/>
      <c r="O171" s="149"/>
    </row>
    <row r="172" spans="2:15" s="30" customFormat="1" ht="62.4">
      <c r="B172" s="198" t="s">
        <v>122</v>
      </c>
      <c r="C172" s="157" t="s">
        <v>117</v>
      </c>
      <c r="D172" s="157" t="s">
        <v>64</v>
      </c>
      <c r="E172" s="157" t="s">
        <v>87</v>
      </c>
      <c r="F172" s="199" t="s">
        <v>172</v>
      </c>
      <c r="G172" s="199" t="s">
        <v>58</v>
      </c>
      <c r="H172" s="199" t="s">
        <v>144</v>
      </c>
      <c r="I172" s="199" t="s">
        <v>145</v>
      </c>
      <c r="J172" s="158"/>
      <c r="K172" s="159">
        <f>K173+K177+K187</f>
        <v>5809.1</v>
      </c>
      <c r="L172" s="159">
        <f>L173+L177+L187</f>
        <v>7782.7</v>
      </c>
      <c r="M172" s="159">
        <f>M173+M177+M187</f>
        <v>9870.6</v>
      </c>
      <c r="N172" s="149"/>
      <c r="O172" s="149"/>
    </row>
    <row r="173" spans="2:15" s="30" customFormat="1" ht="46.8">
      <c r="B173" s="176" t="s">
        <v>222</v>
      </c>
      <c r="C173" s="157" t="s">
        <v>117</v>
      </c>
      <c r="D173" s="157" t="s">
        <v>64</v>
      </c>
      <c r="E173" s="157" t="s">
        <v>87</v>
      </c>
      <c r="F173" s="199" t="s">
        <v>172</v>
      </c>
      <c r="G173" s="199" t="s">
        <v>58</v>
      </c>
      <c r="H173" s="199" t="s">
        <v>63</v>
      </c>
      <c r="I173" s="199" t="s">
        <v>145</v>
      </c>
      <c r="J173" s="158"/>
      <c r="K173" s="159">
        <f>K174</f>
        <v>3409.1</v>
      </c>
      <c r="L173" s="159">
        <f t="shared" ref="L173:M173" si="56">L174</f>
        <v>5082.2</v>
      </c>
      <c r="M173" s="159">
        <f t="shared" si="56"/>
        <v>6761.6</v>
      </c>
      <c r="N173" s="149"/>
      <c r="O173" s="149"/>
    </row>
    <row r="174" spans="2:15" s="30" customFormat="1" ht="80.25" customHeight="1">
      <c r="B174" s="198" t="s">
        <v>459</v>
      </c>
      <c r="C174" s="157" t="s">
        <v>117</v>
      </c>
      <c r="D174" s="157" t="s">
        <v>64</v>
      </c>
      <c r="E174" s="157" t="s">
        <v>87</v>
      </c>
      <c r="F174" s="204" t="s">
        <v>172</v>
      </c>
      <c r="G174" s="204" t="s">
        <v>58</v>
      </c>
      <c r="H174" s="204" t="s">
        <v>63</v>
      </c>
      <c r="I174" s="204" t="s">
        <v>320</v>
      </c>
      <c r="J174" s="158"/>
      <c r="K174" s="159">
        <f t="shared" si="55"/>
        <v>3409.1</v>
      </c>
      <c r="L174" s="159">
        <f t="shared" si="55"/>
        <v>5082.2</v>
      </c>
      <c r="M174" s="159">
        <f t="shared" si="55"/>
        <v>6761.6</v>
      </c>
      <c r="N174" s="149"/>
      <c r="O174" s="149"/>
    </row>
    <row r="175" spans="2:15" s="30" customFormat="1" ht="46.8">
      <c r="B175" s="162" t="s">
        <v>148</v>
      </c>
      <c r="C175" s="157" t="s">
        <v>117</v>
      </c>
      <c r="D175" s="157" t="s">
        <v>64</v>
      </c>
      <c r="E175" s="157" t="s">
        <v>87</v>
      </c>
      <c r="F175" s="204" t="s">
        <v>172</v>
      </c>
      <c r="G175" s="204" t="s">
        <v>58</v>
      </c>
      <c r="H175" s="204" t="s">
        <v>63</v>
      </c>
      <c r="I175" s="204" t="s">
        <v>320</v>
      </c>
      <c r="J175" s="158" t="s">
        <v>71</v>
      </c>
      <c r="K175" s="159">
        <f t="shared" si="55"/>
        <v>3409.1</v>
      </c>
      <c r="L175" s="159">
        <f t="shared" si="55"/>
        <v>5082.2</v>
      </c>
      <c r="M175" s="159">
        <f t="shared" si="55"/>
        <v>6761.6</v>
      </c>
      <c r="N175" s="149"/>
      <c r="O175" s="149"/>
    </row>
    <row r="176" spans="2:15" s="30" customFormat="1" ht="46.8">
      <c r="B176" s="162" t="s">
        <v>72</v>
      </c>
      <c r="C176" s="157" t="s">
        <v>117</v>
      </c>
      <c r="D176" s="157" t="s">
        <v>64</v>
      </c>
      <c r="E176" s="157" t="s">
        <v>87</v>
      </c>
      <c r="F176" s="204" t="s">
        <v>172</v>
      </c>
      <c r="G176" s="204" t="s">
        <v>58</v>
      </c>
      <c r="H176" s="204" t="s">
        <v>63</v>
      </c>
      <c r="I176" s="204" t="s">
        <v>320</v>
      </c>
      <c r="J176" s="158" t="s">
        <v>73</v>
      </c>
      <c r="K176" s="159">
        <f>(2409.1+1000)</f>
        <v>3409.1</v>
      </c>
      <c r="L176" s="159">
        <f>(2982.2-400)+2500</f>
        <v>5082.2</v>
      </c>
      <c r="M176" s="159">
        <f>(3161.6-400)+4000</f>
        <v>6761.6</v>
      </c>
      <c r="N176" s="149"/>
      <c r="O176" s="149"/>
    </row>
    <row r="177" spans="2:15" s="30" customFormat="1" ht="46.8">
      <c r="B177" s="205" t="s">
        <v>277</v>
      </c>
      <c r="C177" s="206" t="s">
        <v>117</v>
      </c>
      <c r="D177" s="206" t="s">
        <v>64</v>
      </c>
      <c r="E177" s="206" t="s">
        <v>87</v>
      </c>
      <c r="F177" s="206" t="s">
        <v>172</v>
      </c>
      <c r="G177" s="206" t="s">
        <v>58</v>
      </c>
      <c r="H177" s="206" t="s">
        <v>86</v>
      </c>
      <c r="I177" s="206" t="s">
        <v>145</v>
      </c>
      <c r="J177" s="206"/>
      <c r="K177" s="207">
        <f>K178+K181+K184</f>
        <v>2000</v>
      </c>
      <c r="L177" s="207">
        <f t="shared" ref="L177:M177" si="57">L178+L181+L184</f>
        <v>2300.5</v>
      </c>
      <c r="M177" s="207">
        <f t="shared" si="57"/>
        <v>2709</v>
      </c>
      <c r="N177" s="149"/>
      <c r="O177" s="149"/>
    </row>
    <row r="178" spans="2:15" s="30" customFormat="1" ht="31.2">
      <c r="B178" s="203" t="s">
        <v>460</v>
      </c>
      <c r="C178" s="157" t="s">
        <v>117</v>
      </c>
      <c r="D178" s="157" t="s">
        <v>64</v>
      </c>
      <c r="E178" s="157" t="s">
        <v>87</v>
      </c>
      <c r="F178" s="204" t="s">
        <v>172</v>
      </c>
      <c r="G178" s="204" t="s">
        <v>58</v>
      </c>
      <c r="H178" s="204" t="s">
        <v>86</v>
      </c>
      <c r="I178" s="204" t="s">
        <v>321</v>
      </c>
      <c r="J178" s="158"/>
      <c r="K178" s="207">
        <f>K179</f>
        <v>2000</v>
      </c>
      <c r="L178" s="207">
        <f t="shared" ref="L178:M179" si="58">L179</f>
        <v>2300.5</v>
      </c>
      <c r="M178" s="207">
        <f t="shared" si="58"/>
        <v>2709</v>
      </c>
      <c r="N178" s="149"/>
      <c r="O178" s="149"/>
    </row>
    <row r="179" spans="2:15" s="30" customFormat="1" ht="46.8">
      <c r="B179" s="208" t="s">
        <v>199</v>
      </c>
      <c r="C179" s="206" t="s">
        <v>117</v>
      </c>
      <c r="D179" s="206" t="s">
        <v>64</v>
      </c>
      <c r="E179" s="206" t="s">
        <v>87</v>
      </c>
      <c r="F179" s="204" t="s">
        <v>172</v>
      </c>
      <c r="G179" s="204" t="s">
        <v>58</v>
      </c>
      <c r="H179" s="204" t="s">
        <v>86</v>
      </c>
      <c r="I179" s="204" t="s">
        <v>321</v>
      </c>
      <c r="J179" s="206" t="s">
        <v>71</v>
      </c>
      <c r="K179" s="207">
        <f>K180</f>
        <v>2000</v>
      </c>
      <c r="L179" s="207">
        <f t="shared" si="58"/>
        <v>2300.5</v>
      </c>
      <c r="M179" s="207">
        <f t="shared" si="58"/>
        <v>2709</v>
      </c>
      <c r="N179" s="149"/>
      <c r="O179" s="149"/>
    </row>
    <row r="180" spans="2:15" s="30" customFormat="1" ht="46.8">
      <c r="B180" s="208" t="s">
        <v>72</v>
      </c>
      <c r="C180" s="206" t="s">
        <v>117</v>
      </c>
      <c r="D180" s="206" t="s">
        <v>64</v>
      </c>
      <c r="E180" s="206" t="s">
        <v>87</v>
      </c>
      <c r="F180" s="204" t="s">
        <v>172</v>
      </c>
      <c r="G180" s="204" t="s">
        <v>58</v>
      </c>
      <c r="H180" s="204" t="s">
        <v>86</v>
      </c>
      <c r="I180" s="204" t="s">
        <v>321</v>
      </c>
      <c r="J180" s="206" t="s">
        <v>73</v>
      </c>
      <c r="K180" s="207">
        <f>2000</f>
        <v>2000</v>
      </c>
      <c r="L180" s="207">
        <f>2000+300.5</f>
        <v>2300.5</v>
      </c>
      <c r="M180" s="207">
        <f>2000+648.4+60.6</f>
        <v>2709</v>
      </c>
      <c r="N180" s="149"/>
      <c r="O180" s="149"/>
    </row>
    <row r="181" spans="2:15" s="30" customFormat="1" ht="31.2" hidden="1">
      <c r="B181" s="203" t="s">
        <v>462</v>
      </c>
      <c r="C181" s="157" t="s">
        <v>117</v>
      </c>
      <c r="D181" s="157" t="s">
        <v>64</v>
      </c>
      <c r="E181" s="157" t="s">
        <v>87</v>
      </c>
      <c r="F181" s="204" t="s">
        <v>172</v>
      </c>
      <c r="G181" s="204" t="s">
        <v>58</v>
      </c>
      <c r="H181" s="204" t="s">
        <v>86</v>
      </c>
      <c r="I181" s="204" t="s">
        <v>322</v>
      </c>
      <c r="J181" s="158"/>
      <c r="K181" s="207">
        <f>K182</f>
        <v>0</v>
      </c>
      <c r="L181" s="207">
        <f t="shared" ref="L181:M182" si="59">L182</f>
        <v>0</v>
      </c>
      <c r="M181" s="207">
        <f t="shared" si="59"/>
        <v>0</v>
      </c>
      <c r="N181" s="149"/>
      <c r="O181" s="149"/>
    </row>
    <row r="182" spans="2:15" s="30" customFormat="1" ht="46.8" hidden="1">
      <c r="B182" s="208" t="s">
        <v>199</v>
      </c>
      <c r="C182" s="206" t="s">
        <v>117</v>
      </c>
      <c r="D182" s="206" t="s">
        <v>64</v>
      </c>
      <c r="E182" s="206" t="s">
        <v>87</v>
      </c>
      <c r="F182" s="204" t="s">
        <v>172</v>
      </c>
      <c r="G182" s="204" t="s">
        <v>58</v>
      </c>
      <c r="H182" s="204" t="s">
        <v>86</v>
      </c>
      <c r="I182" s="204" t="s">
        <v>322</v>
      </c>
      <c r="J182" s="206" t="s">
        <v>71</v>
      </c>
      <c r="K182" s="207">
        <f>K183</f>
        <v>0</v>
      </c>
      <c r="L182" s="207">
        <f t="shared" si="59"/>
        <v>0</v>
      </c>
      <c r="M182" s="207">
        <f t="shared" si="59"/>
        <v>0</v>
      </c>
      <c r="N182" s="149"/>
      <c r="O182" s="149"/>
    </row>
    <row r="183" spans="2:15" s="30" customFormat="1" ht="46.8" hidden="1">
      <c r="B183" s="208" t="s">
        <v>72</v>
      </c>
      <c r="C183" s="206" t="s">
        <v>117</v>
      </c>
      <c r="D183" s="206" t="s">
        <v>64</v>
      </c>
      <c r="E183" s="206" t="s">
        <v>87</v>
      </c>
      <c r="F183" s="204" t="s">
        <v>172</v>
      </c>
      <c r="G183" s="204" t="s">
        <v>58</v>
      </c>
      <c r="H183" s="204" t="s">
        <v>86</v>
      </c>
      <c r="I183" s="204" t="s">
        <v>322</v>
      </c>
      <c r="J183" s="206" t="s">
        <v>73</v>
      </c>
      <c r="K183" s="207"/>
      <c r="L183" s="207"/>
      <c r="M183" s="207"/>
      <c r="N183" s="149"/>
      <c r="O183" s="149"/>
    </row>
    <row r="184" spans="2:15" s="30" customFormat="1" ht="62.4" hidden="1">
      <c r="B184" s="198" t="s">
        <v>323</v>
      </c>
      <c r="C184" s="206" t="s">
        <v>117</v>
      </c>
      <c r="D184" s="206" t="s">
        <v>64</v>
      </c>
      <c r="E184" s="206" t="s">
        <v>87</v>
      </c>
      <c r="F184" s="209" t="s">
        <v>172</v>
      </c>
      <c r="G184" s="209" t="s">
        <v>58</v>
      </c>
      <c r="H184" s="209" t="s">
        <v>86</v>
      </c>
      <c r="I184" s="209" t="s">
        <v>173</v>
      </c>
      <c r="J184" s="206"/>
      <c r="K184" s="207">
        <f>K185</f>
        <v>0</v>
      </c>
      <c r="L184" s="207">
        <f t="shared" ref="L184:M185" si="60">L185</f>
        <v>0</v>
      </c>
      <c r="M184" s="207">
        <f t="shared" si="60"/>
        <v>0</v>
      </c>
      <c r="N184" s="149"/>
      <c r="O184" s="149"/>
    </row>
    <row r="185" spans="2:15" s="30" customFormat="1" ht="46.8" hidden="1">
      <c r="B185" s="208" t="s">
        <v>199</v>
      </c>
      <c r="C185" s="206" t="s">
        <v>117</v>
      </c>
      <c r="D185" s="206" t="s">
        <v>64</v>
      </c>
      <c r="E185" s="206" t="s">
        <v>87</v>
      </c>
      <c r="F185" s="209" t="s">
        <v>172</v>
      </c>
      <c r="G185" s="209" t="s">
        <v>58</v>
      </c>
      <c r="H185" s="209" t="s">
        <v>86</v>
      </c>
      <c r="I185" s="209" t="s">
        <v>173</v>
      </c>
      <c r="J185" s="206" t="s">
        <v>71</v>
      </c>
      <c r="K185" s="207">
        <f>K186</f>
        <v>0</v>
      </c>
      <c r="L185" s="207">
        <f t="shared" si="60"/>
        <v>0</v>
      </c>
      <c r="M185" s="207">
        <f t="shared" si="60"/>
        <v>0</v>
      </c>
      <c r="N185" s="149"/>
      <c r="O185" s="149"/>
    </row>
    <row r="186" spans="2:15" s="30" customFormat="1" ht="46.8" hidden="1">
      <c r="B186" s="208" t="s">
        <v>72</v>
      </c>
      <c r="C186" s="206" t="s">
        <v>117</v>
      </c>
      <c r="D186" s="206" t="s">
        <v>64</v>
      </c>
      <c r="E186" s="206" t="s">
        <v>87</v>
      </c>
      <c r="F186" s="209" t="s">
        <v>172</v>
      </c>
      <c r="G186" s="209" t="s">
        <v>58</v>
      </c>
      <c r="H186" s="209" t="s">
        <v>86</v>
      </c>
      <c r="I186" s="209" t="s">
        <v>173</v>
      </c>
      <c r="J186" s="206" t="s">
        <v>73</v>
      </c>
      <c r="K186" s="207"/>
      <c r="L186" s="207"/>
      <c r="M186" s="207"/>
      <c r="N186" s="149"/>
      <c r="O186" s="149"/>
    </row>
    <row r="187" spans="2:15" s="30" customFormat="1" ht="46.8">
      <c r="B187" s="205" t="s">
        <v>324</v>
      </c>
      <c r="C187" s="206" t="s">
        <v>117</v>
      </c>
      <c r="D187" s="206" t="s">
        <v>64</v>
      </c>
      <c r="E187" s="206" t="s">
        <v>87</v>
      </c>
      <c r="F187" s="206" t="s">
        <v>172</v>
      </c>
      <c r="G187" s="206" t="s">
        <v>58</v>
      </c>
      <c r="H187" s="206" t="s">
        <v>174</v>
      </c>
      <c r="I187" s="206" t="s">
        <v>145</v>
      </c>
      <c r="J187" s="206"/>
      <c r="K187" s="207">
        <f>K188</f>
        <v>400</v>
      </c>
      <c r="L187" s="207">
        <f t="shared" ref="L187:M187" si="61">L188</f>
        <v>400</v>
      </c>
      <c r="M187" s="207">
        <f t="shared" si="61"/>
        <v>400</v>
      </c>
      <c r="N187" s="149"/>
      <c r="O187" s="149"/>
    </row>
    <row r="188" spans="2:15" s="30" customFormat="1" ht="46.8">
      <c r="B188" s="205" t="s">
        <v>461</v>
      </c>
      <c r="C188" s="206" t="s">
        <v>117</v>
      </c>
      <c r="D188" s="206" t="s">
        <v>64</v>
      </c>
      <c r="E188" s="206" t="s">
        <v>87</v>
      </c>
      <c r="F188" s="204" t="s">
        <v>172</v>
      </c>
      <c r="G188" s="204" t="s">
        <v>58</v>
      </c>
      <c r="H188" s="204" t="s">
        <v>174</v>
      </c>
      <c r="I188" s="204" t="s">
        <v>325</v>
      </c>
      <c r="J188" s="206"/>
      <c r="K188" s="207">
        <f>K189</f>
        <v>400</v>
      </c>
      <c r="L188" s="207">
        <f t="shared" ref="L188:M189" si="62">L189</f>
        <v>400</v>
      </c>
      <c r="M188" s="207">
        <f t="shared" si="62"/>
        <v>400</v>
      </c>
      <c r="N188" s="149"/>
      <c r="O188" s="149"/>
    </row>
    <row r="189" spans="2:15" s="30" customFormat="1" ht="46.8">
      <c r="B189" s="208" t="s">
        <v>199</v>
      </c>
      <c r="C189" s="206" t="s">
        <v>117</v>
      </c>
      <c r="D189" s="206" t="s">
        <v>64</v>
      </c>
      <c r="E189" s="206" t="s">
        <v>87</v>
      </c>
      <c r="F189" s="204" t="s">
        <v>172</v>
      </c>
      <c r="G189" s="204" t="s">
        <v>58</v>
      </c>
      <c r="H189" s="204" t="s">
        <v>174</v>
      </c>
      <c r="I189" s="204" t="s">
        <v>325</v>
      </c>
      <c r="J189" s="206" t="s">
        <v>71</v>
      </c>
      <c r="K189" s="207">
        <f>K190</f>
        <v>400</v>
      </c>
      <c r="L189" s="207">
        <f t="shared" si="62"/>
        <v>400</v>
      </c>
      <c r="M189" s="207">
        <f t="shared" si="62"/>
        <v>400</v>
      </c>
      <c r="N189" s="149"/>
      <c r="O189" s="149"/>
    </row>
    <row r="190" spans="2:15" s="30" customFormat="1" ht="46.8">
      <c r="B190" s="208" t="s">
        <v>72</v>
      </c>
      <c r="C190" s="206" t="s">
        <v>117</v>
      </c>
      <c r="D190" s="206" t="s">
        <v>64</v>
      </c>
      <c r="E190" s="206" t="s">
        <v>87</v>
      </c>
      <c r="F190" s="204" t="s">
        <v>172</v>
      </c>
      <c r="G190" s="204" t="s">
        <v>58</v>
      </c>
      <c r="H190" s="204" t="s">
        <v>174</v>
      </c>
      <c r="I190" s="204" t="s">
        <v>325</v>
      </c>
      <c r="J190" s="206" t="s">
        <v>73</v>
      </c>
      <c r="K190" s="207">
        <f>400</f>
        <v>400</v>
      </c>
      <c r="L190" s="207">
        <f>400</f>
        <v>400</v>
      </c>
      <c r="M190" s="207">
        <f>400</f>
        <v>400</v>
      </c>
      <c r="N190" s="149"/>
      <c r="O190" s="149"/>
    </row>
    <row r="191" spans="2:15" s="30" customFormat="1" ht="78" hidden="1">
      <c r="B191" s="197" t="s">
        <v>278</v>
      </c>
      <c r="C191" s="146" t="s">
        <v>117</v>
      </c>
      <c r="D191" s="146" t="s">
        <v>64</v>
      </c>
      <c r="E191" s="210" t="s">
        <v>87</v>
      </c>
      <c r="F191" s="146" t="s">
        <v>279</v>
      </c>
      <c r="G191" s="146" t="s">
        <v>143</v>
      </c>
      <c r="H191" s="146" t="s">
        <v>144</v>
      </c>
      <c r="I191" s="146" t="s">
        <v>145</v>
      </c>
      <c r="J191" s="154"/>
      <c r="K191" s="187">
        <f>K192</f>
        <v>0</v>
      </c>
      <c r="L191" s="187">
        <f t="shared" ref="L191:M194" si="63">L192</f>
        <v>0</v>
      </c>
      <c r="M191" s="187">
        <f t="shared" si="63"/>
        <v>0</v>
      </c>
      <c r="N191" s="149"/>
      <c r="O191" s="149"/>
    </row>
    <row r="192" spans="2:15" s="30" customFormat="1" ht="31.2" hidden="1">
      <c r="B192" s="176" t="s">
        <v>326</v>
      </c>
      <c r="C192" s="157" t="s">
        <v>117</v>
      </c>
      <c r="D192" s="157" t="s">
        <v>64</v>
      </c>
      <c r="E192" s="211" t="s">
        <v>87</v>
      </c>
      <c r="F192" s="157" t="s">
        <v>279</v>
      </c>
      <c r="G192" s="157" t="s">
        <v>143</v>
      </c>
      <c r="H192" s="157" t="s">
        <v>327</v>
      </c>
      <c r="I192" s="157" t="s">
        <v>145</v>
      </c>
      <c r="J192" s="158"/>
      <c r="K192" s="188">
        <f>K193</f>
        <v>0</v>
      </c>
      <c r="L192" s="188">
        <f t="shared" si="63"/>
        <v>0</v>
      </c>
      <c r="M192" s="188">
        <f t="shared" si="63"/>
        <v>0</v>
      </c>
      <c r="N192" s="149"/>
      <c r="O192" s="149"/>
    </row>
    <row r="193" spans="2:19" s="30" customFormat="1" ht="31.2" hidden="1">
      <c r="B193" s="176" t="s">
        <v>328</v>
      </c>
      <c r="C193" s="157" t="s">
        <v>117</v>
      </c>
      <c r="D193" s="157" t="s">
        <v>90</v>
      </c>
      <c r="E193" s="157" t="s">
        <v>86</v>
      </c>
      <c r="F193" s="186" t="s">
        <v>279</v>
      </c>
      <c r="G193" s="186" t="s">
        <v>143</v>
      </c>
      <c r="H193" s="186" t="s">
        <v>327</v>
      </c>
      <c r="I193" s="186" t="s">
        <v>329</v>
      </c>
      <c r="J193" s="157"/>
      <c r="K193" s="188">
        <f>K194</f>
        <v>0</v>
      </c>
      <c r="L193" s="188">
        <f t="shared" si="63"/>
        <v>0</v>
      </c>
      <c r="M193" s="188">
        <f t="shared" si="63"/>
        <v>0</v>
      </c>
      <c r="N193" s="149"/>
      <c r="O193" s="149"/>
    </row>
    <row r="194" spans="2:19" s="30" customFormat="1" ht="46.8" hidden="1">
      <c r="B194" s="176" t="s">
        <v>199</v>
      </c>
      <c r="C194" s="157" t="s">
        <v>117</v>
      </c>
      <c r="D194" s="157" t="s">
        <v>90</v>
      </c>
      <c r="E194" s="157" t="s">
        <v>86</v>
      </c>
      <c r="F194" s="186" t="s">
        <v>279</v>
      </c>
      <c r="G194" s="186" t="s">
        <v>143</v>
      </c>
      <c r="H194" s="186" t="s">
        <v>327</v>
      </c>
      <c r="I194" s="186" t="s">
        <v>329</v>
      </c>
      <c r="J194" s="157" t="s">
        <v>71</v>
      </c>
      <c r="K194" s="188">
        <f>K195</f>
        <v>0</v>
      </c>
      <c r="L194" s="188">
        <f t="shared" si="63"/>
        <v>0</v>
      </c>
      <c r="M194" s="188">
        <f t="shared" si="63"/>
        <v>0</v>
      </c>
      <c r="N194" s="149"/>
      <c r="O194" s="149"/>
    </row>
    <row r="195" spans="2:19" s="30" customFormat="1" ht="46.8" hidden="1">
      <c r="B195" s="176" t="s">
        <v>72</v>
      </c>
      <c r="C195" s="157" t="s">
        <v>117</v>
      </c>
      <c r="D195" s="157" t="s">
        <v>90</v>
      </c>
      <c r="E195" s="157" t="s">
        <v>86</v>
      </c>
      <c r="F195" s="186" t="s">
        <v>279</v>
      </c>
      <c r="G195" s="186" t="s">
        <v>143</v>
      </c>
      <c r="H195" s="186" t="s">
        <v>327</v>
      </c>
      <c r="I195" s="186" t="s">
        <v>329</v>
      </c>
      <c r="J195" s="157" t="s">
        <v>73</v>
      </c>
      <c r="K195" s="188">
        <f>0</f>
        <v>0</v>
      </c>
      <c r="L195" s="188">
        <f>0</f>
        <v>0</v>
      </c>
      <c r="M195" s="188">
        <f>0</f>
        <v>0</v>
      </c>
      <c r="N195" s="149"/>
      <c r="O195" s="149"/>
    </row>
    <row r="196" spans="2:19" s="30" customFormat="1" ht="15.6">
      <c r="B196" s="150" t="s">
        <v>89</v>
      </c>
      <c r="C196" s="212" t="s">
        <v>117</v>
      </c>
      <c r="D196" s="146" t="s">
        <v>90</v>
      </c>
      <c r="E196" s="146"/>
      <c r="F196" s="147"/>
      <c r="G196" s="147"/>
      <c r="H196" s="147"/>
      <c r="I196" s="147"/>
      <c r="J196" s="146"/>
      <c r="K196" s="148">
        <f>K197+K204</f>
        <v>27165</v>
      </c>
      <c r="L196" s="148">
        <f t="shared" ref="L196:M196" si="64">L197+L204</f>
        <v>27165</v>
      </c>
      <c r="M196" s="148">
        <f t="shared" si="64"/>
        <v>27165.082499999997</v>
      </c>
      <c r="N196" s="149"/>
      <c r="O196" s="149"/>
    </row>
    <row r="197" spans="2:19" s="30" customFormat="1" ht="15.6" hidden="1">
      <c r="B197" s="174" t="s">
        <v>149</v>
      </c>
      <c r="C197" s="146" t="s">
        <v>117</v>
      </c>
      <c r="D197" s="146" t="s">
        <v>90</v>
      </c>
      <c r="E197" s="146" t="s">
        <v>63</v>
      </c>
      <c r="F197" s="175"/>
      <c r="G197" s="175"/>
      <c r="H197" s="175"/>
      <c r="I197" s="175"/>
      <c r="J197" s="175"/>
      <c r="K197" s="148">
        <f t="shared" ref="K197:M202" si="65">K198</f>
        <v>0</v>
      </c>
      <c r="L197" s="148">
        <f t="shared" si="65"/>
        <v>0</v>
      </c>
      <c r="M197" s="148">
        <f t="shared" si="65"/>
        <v>0</v>
      </c>
      <c r="N197" s="149"/>
      <c r="O197" s="149"/>
    </row>
    <row r="198" spans="2:19" s="30" customFormat="1" ht="78" hidden="1">
      <c r="B198" s="176" t="s">
        <v>204</v>
      </c>
      <c r="C198" s="157" t="s">
        <v>117</v>
      </c>
      <c r="D198" s="157" t="s">
        <v>90</v>
      </c>
      <c r="E198" s="157" t="s">
        <v>63</v>
      </c>
      <c r="F198" s="157" t="s">
        <v>205</v>
      </c>
      <c r="G198" s="157" t="s">
        <v>143</v>
      </c>
      <c r="H198" s="157" t="s">
        <v>144</v>
      </c>
      <c r="I198" s="157" t="s">
        <v>145</v>
      </c>
      <c r="J198" s="177"/>
      <c r="K198" s="159">
        <f t="shared" si="65"/>
        <v>0</v>
      </c>
      <c r="L198" s="159">
        <f t="shared" si="65"/>
        <v>0</v>
      </c>
      <c r="M198" s="159">
        <f t="shared" si="65"/>
        <v>0</v>
      </c>
      <c r="N198" s="149"/>
      <c r="O198" s="149"/>
    </row>
    <row r="199" spans="2:19" s="30" customFormat="1" ht="78" hidden="1">
      <c r="B199" s="176" t="s">
        <v>253</v>
      </c>
      <c r="C199" s="157" t="s">
        <v>117</v>
      </c>
      <c r="D199" s="157" t="s">
        <v>90</v>
      </c>
      <c r="E199" s="157" t="s">
        <v>63</v>
      </c>
      <c r="F199" s="157" t="s">
        <v>205</v>
      </c>
      <c r="G199" s="157" t="s">
        <v>152</v>
      </c>
      <c r="H199" s="157" t="s">
        <v>144</v>
      </c>
      <c r="I199" s="157" t="s">
        <v>145</v>
      </c>
      <c r="J199" s="177"/>
      <c r="K199" s="159">
        <f t="shared" si="65"/>
        <v>0</v>
      </c>
      <c r="L199" s="159">
        <f t="shared" si="65"/>
        <v>0</v>
      </c>
      <c r="M199" s="159">
        <f t="shared" si="65"/>
        <v>0</v>
      </c>
      <c r="N199" s="149"/>
      <c r="O199" s="149"/>
    </row>
    <row r="200" spans="2:19" s="30" customFormat="1" ht="62.4" hidden="1">
      <c r="B200" s="176" t="s">
        <v>254</v>
      </c>
      <c r="C200" s="157" t="s">
        <v>117</v>
      </c>
      <c r="D200" s="157" t="s">
        <v>90</v>
      </c>
      <c r="E200" s="157" t="s">
        <v>63</v>
      </c>
      <c r="F200" s="157" t="s">
        <v>205</v>
      </c>
      <c r="G200" s="157" t="s">
        <v>152</v>
      </c>
      <c r="H200" s="157" t="s">
        <v>255</v>
      </c>
      <c r="I200" s="157" t="s">
        <v>145</v>
      </c>
      <c r="J200" s="177"/>
      <c r="K200" s="159">
        <f t="shared" si="65"/>
        <v>0</v>
      </c>
      <c r="L200" s="159">
        <f t="shared" si="65"/>
        <v>0</v>
      </c>
      <c r="M200" s="159">
        <f t="shared" si="65"/>
        <v>0</v>
      </c>
      <c r="N200" s="149"/>
      <c r="O200" s="149"/>
    </row>
    <row r="201" spans="2:19" s="30" customFormat="1" ht="15.6" hidden="1">
      <c r="B201" s="176" t="s">
        <v>256</v>
      </c>
      <c r="C201" s="157" t="s">
        <v>117</v>
      </c>
      <c r="D201" s="157" t="s">
        <v>90</v>
      </c>
      <c r="E201" s="157" t="s">
        <v>63</v>
      </c>
      <c r="F201" s="157" t="s">
        <v>205</v>
      </c>
      <c r="G201" s="157" t="s">
        <v>152</v>
      </c>
      <c r="H201" s="157" t="s">
        <v>255</v>
      </c>
      <c r="I201" s="157" t="s">
        <v>257</v>
      </c>
      <c r="J201" s="177"/>
      <c r="K201" s="159">
        <f t="shared" si="65"/>
        <v>0</v>
      </c>
      <c r="L201" s="159">
        <f t="shared" si="65"/>
        <v>0</v>
      </c>
      <c r="M201" s="159">
        <f t="shared" si="65"/>
        <v>0</v>
      </c>
      <c r="N201" s="149"/>
      <c r="O201" s="149"/>
    </row>
    <row r="202" spans="2:19" s="30" customFormat="1" ht="46.8" hidden="1">
      <c r="B202" s="162" t="s">
        <v>148</v>
      </c>
      <c r="C202" s="157" t="s">
        <v>117</v>
      </c>
      <c r="D202" s="157" t="s">
        <v>90</v>
      </c>
      <c r="E202" s="157" t="s">
        <v>63</v>
      </c>
      <c r="F202" s="157" t="s">
        <v>205</v>
      </c>
      <c r="G202" s="157" t="s">
        <v>152</v>
      </c>
      <c r="H202" s="157" t="s">
        <v>255</v>
      </c>
      <c r="I202" s="157" t="s">
        <v>257</v>
      </c>
      <c r="J202" s="167">
        <v>200</v>
      </c>
      <c r="K202" s="159">
        <f t="shared" si="65"/>
        <v>0</v>
      </c>
      <c r="L202" s="159">
        <f t="shared" si="65"/>
        <v>0</v>
      </c>
      <c r="M202" s="159">
        <f t="shared" si="65"/>
        <v>0</v>
      </c>
      <c r="N202" s="149"/>
      <c r="O202" s="149"/>
    </row>
    <row r="203" spans="2:19" s="30" customFormat="1" ht="46.8" hidden="1">
      <c r="B203" s="162" t="s">
        <v>72</v>
      </c>
      <c r="C203" s="157" t="s">
        <v>117</v>
      </c>
      <c r="D203" s="157" t="s">
        <v>90</v>
      </c>
      <c r="E203" s="157" t="s">
        <v>63</v>
      </c>
      <c r="F203" s="157" t="s">
        <v>205</v>
      </c>
      <c r="G203" s="157" t="s">
        <v>152</v>
      </c>
      <c r="H203" s="157" t="s">
        <v>255</v>
      </c>
      <c r="I203" s="157" t="s">
        <v>257</v>
      </c>
      <c r="J203" s="157" t="s">
        <v>73</v>
      </c>
      <c r="K203" s="159"/>
      <c r="L203" s="159"/>
      <c r="M203" s="159"/>
      <c r="N203" s="149"/>
      <c r="O203" s="149"/>
    </row>
    <row r="204" spans="2:19" s="214" customFormat="1" ht="15.6">
      <c r="B204" s="150" t="s">
        <v>91</v>
      </c>
      <c r="C204" s="146" t="s">
        <v>117</v>
      </c>
      <c r="D204" s="146" t="s">
        <v>90</v>
      </c>
      <c r="E204" s="146" t="s">
        <v>86</v>
      </c>
      <c r="F204" s="146"/>
      <c r="G204" s="146"/>
      <c r="H204" s="146"/>
      <c r="I204" s="146"/>
      <c r="J204" s="146"/>
      <c r="K204" s="148">
        <f>K205+K450</f>
        <v>27165</v>
      </c>
      <c r="L204" s="148">
        <f t="shared" ref="L204:M204" si="66">L205+L450</f>
        <v>27165</v>
      </c>
      <c r="M204" s="148">
        <f t="shared" si="66"/>
        <v>27165.082499999997</v>
      </c>
      <c r="N204" s="213"/>
      <c r="O204" s="213"/>
      <c r="P204" s="213"/>
      <c r="Q204" s="213"/>
      <c r="R204" s="213"/>
      <c r="S204" s="213"/>
    </row>
    <row r="205" spans="2:19" s="214" customFormat="1" ht="62.4">
      <c r="B205" s="197" t="s">
        <v>330</v>
      </c>
      <c r="C205" s="157" t="s">
        <v>117</v>
      </c>
      <c r="D205" s="146" t="s">
        <v>90</v>
      </c>
      <c r="E205" s="146" t="s">
        <v>86</v>
      </c>
      <c r="F205" s="146" t="s">
        <v>279</v>
      </c>
      <c r="G205" s="146" t="s">
        <v>143</v>
      </c>
      <c r="H205" s="146" t="s">
        <v>144</v>
      </c>
      <c r="I205" s="146" t="s">
        <v>145</v>
      </c>
      <c r="J205" s="146"/>
      <c r="K205" s="215">
        <f>K206+K213+K220+K227+K234+K259+K266+K279+K286+K293+K300+K307+K314+K322+K328+K335+K342+K358+K365+K372+K379+K386+K408+K424+K431</f>
        <v>27165</v>
      </c>
      <c r="L205" s="215">
        <f t="shared" ref="L205:M205" si="67">L206+L213+L220+L227+L234+L259+L266+L279+L286+L293+L300+L307+L314+L322+L328+L335+L342+L358+L365+L372+L379+L386+L408+L424+L431</f>
        <v>27165</v>
      </c>
      <c r="M205" s="215">
        <f t="shared" si="67"/>
        <v>27165.082499999997</v>
      </c>
      <c r="N205" s="213"/>
      <c r="O205" s="213"/>
      <c r="P205" s="213"/>
      <c r="Q205" s="213"/>
      <c r="R205" s="213"/>
      <c r="S205" s="213"/>
    </row>
    <row r="206" spans="2:19" s="214" customFormat="1" ht="31.2">
      <c r="B206" s="176" t="s">
        <v>280</v>
      </c>
      <c r="C206" s="157" t="s">
        <v>117</v>
      </c>
      <c r="D206" s="157" t="s">
        <v>90</v>
      </c>
      <c r="E206" s="157" t="s">
        <v>86</v>
      </c>
      <c r="F206" s="157" t="s">
        <v>279</v>
      </c>
      <c r="G206" s="157" t="s">
        <v>143</v>
      </c>
      <c r="H206" s="157" t="s">
        <v>63</v>
      </c>
      <c r="I206" s="157" t="s">
        <v>145</v>
      </c>
      <c r="J206" s="157"/>
      <c r="K206" s="216">
        <f>K207+K210</f>
        <v>225</v>
      </c>
      <c r="L206" s="216">
        <f t="shared" ref="L206:M206" si="68">L207+L210</f>
        <v>250</v>
      </c>
      <c r="M206" s="216">
        <f t="shared" si="68"/>
        <v>250</v>
      </c>
      <c r="N206" s="213"/>
      <c r="O206" s="213"/>
      <c r="P206" s="213"/>
      <c r="Q206" s="213"/>
      <c r="R206" s="213"/>
      <c r="S206" s="213"/>
    </row>
    <row r="207" spans="2:19" s="214" customFormat="1" ht="31.2">
      <c r="B207" s="176" t="s">
        <v>331</v>
      </c>
      <c r="C207" s="157" t="s">
        <v>117</v>
      </c>
      <c r="D207" s="157" t="s">
        <v>90</v>
      </c>
      <c r="E207" s="157" t="s">
        <v>86</v>
      </c>
      <c r="F207" s="186" t="s">
        <v>279</v>
      </c>
      <c r="G207" s="186" t="s">
        <v>143</v>
      </c>
      <c r="H207" s="186" t="s">
        <v>63</v>
      </c>
      <c r="I207" s="186" t="s">
        <v>332</v>
      </c>
      <c r="J207" s="157"/>
      <c r="K207" s="216">
        <f>K208</f>
        <v>225</v>
      </c>
      <c r="L207" s="216">
        <f t="shared" ref="L207:M208" si="69">L208</f>
        <v>250</v>
      </c>
      <c r="M207" s="216">
        <f t="shared" si="69"/>
        <v>250</v>
      </c>
      <c r="N207" s="213"/>
      <c r="O207" s="213"/>
      <c r="P207" s="213"/>
      <c r="Q207" s="213"/>
      <c r="R207" s="213"/>
      <c r="S207" s="213"/>
    </row>
    <row r="208" spans="2:19" s="214" customFormat="1" ht="46.8">
      <c r="B208" s="176" t="s">
        <v>70</v>
      </c>
      <c r="C208" s="157" t="s">
        <v>117</v>
      </c>
      <c r="D208" s="157" t="s">
        <v>90</v>
      </c>
      <c r="E208" s="157" t="s">
        <v>86</v>
      </c>
      <c r="F208" s="186" t="s">
        <v>279</v>
      </c>
      <c r="G208" s="186" t="s">
        <v>143</v>
      </c>
      <c r="H208" s="186" t="s">
        <v>63</v>
      </c>
      <c r="I208" s="186" t="s">
        <v>332</v>
      </c>
      <c r="J208" s="157" t="s">
        <v>71</v>
      </c>
      <c r="K208" s="216">
        <f>K209</f>
        <v>225</v>
      </c>
      <c r="L208" s="216">
        <f t="shared" si="69"/>
        <v>250</v>
      </c>
      <c r="M208" s="216">
        <f t="shared" si="69"/>
        <v>250</v>
      </c>
      <c r="N208" s="213"/>
      <c r="O208" s="213"/>
      <c r="P208" s="213"/>
      <c r="Q208" s="213"/>
      <c r="R208" s="213"/>
      <c r="S208" s="213"/>
    </row>
    <row r="209" spans="2:19" s="214" customFormat="1" ht="46.8">
      <c r="B209" s="176" t="s">
        <v>72</v>
      </c>
      <c r="C209" s="157" t="s">
        <v>117</v>
      </c>
      <c r="D209" s="157" t="s">
        <v>90</v>
      </c>
      <c r="E209" s="157" t="s">
        <v>86</v>
      </c>
      <c r="F209" s="186" t="s">
        <v>279</v>
      </c>
      <c r="G209" s="186" t="s">
        <v>143</v>
      </c>
      <c r="H209" s="186" t="s">
        <v>63</v>
      </c>
      <c r="I209" s="186" t="s">
        <v>332</v>
      </c>
      <c r="J209" s="157" t="s">
        <v>73</v>
      </c>
      <c r="K209" s="216">
        <f>225</f>
        <v>225</v>
      </c>
      <c r="L209" s="216">
        <f>250</f>
        <v>250</v>
      </c>
      <c r="M209" s="216">
        <f>250</f>
        <v>250</v>
      </c>
      <c r="N209" s="213"/>
      <c r="O209" s="213"/>
      <c r="P209" s="213"/>
      <c r="Q209" s="213"/>
      <c r="R209" s="213"/>
      <c r="S209" s="213"/>
    </row>
    <row r="210" spans="2:19" s="214" customFormat="1" ht="15.6" hidden="1">
      <c r="B210" s="176" t="s">
        <v>256</v>
      </c>
      <c r="C210" s="157" t="s">
        <v>117</v>
      </c>
      <c r="D210" s="157" t="s">
        <v>90</v>
      </c>
      <c r="E210" s="157" t="s">
        <v>86</v>
      </c>
      <c r="F210" s="157" t="s">
        <v>279</v>
      </c>
      <c r="G210" s="157" t="s">
        <v>143</v>
      </c>
      <c r="H210" s="157" t="s">
        <v>63</v>
      </c>
      <c r="I210" s="157" t="s">
        <v>257</v>
      </c>
      <c r="J210" s="157"/>
      <c r="K210" s="216">
        <f>K211</f>
        <v>0</v>
      </c>
      <c r="L210" s="216">
        <f t="shared" ref="L210:M211" si="70">L211</f>
        <v>0</v>
      </c>
      <c r="M210" s="216">
        <f t="shared" si="70"/>
        <v>0</v>
      </c>
      <c r="N210" s="213"/>
      <c r="O210" s="213"/>
      <c r="P210" s="213"/>
      <c r="Q210" s="213"/>
      <c r="R210" s="213"/>
      <c r="S210" s="213"/>
    </row>
    <row r="211" spans="2:19" s="214" customFormat="1" ht="46.8" hidden="1">
      <c r="B211" s="176" t="s">
        <v>70</v>
      </c>
      <c r="C211" s="157" t="s">
        <v>117</v>
      </c>
      <c r="D211" s="157" t="s">
        <v>90</v>
      </c>
      <c r="E211" s="157" t="s">
        <v>86</v>
      </c>
      <c r="F211" s="157" t="s">
        <v>279</v>
      </c>
      <c r="G211" s="157" t="s">
        <v>143</v>
      </c>
      <c r="H211" s="157" t="s">
        <v>63</v>
      </c>
      <c r="I211" s="157" t="s">
        <v>257</v>
      </c>
      <c r="J211" s="157" t="s">
        <v>71</v>
      </c>
      <c r="K211" s="216">
        <f>K212</f>
        <v>0</v>
      </c>
      <c r="L211" s="216">
        <f t="shared" si="70"/>
        <v>0</v>
      </c>
      <c r="M211" s="216">
        <f t="shared" si="70"/>
        <v>0</v>
      </c>
      <c r="N211" s="213"/>
      <c r="O211" s="213"/>
      <c r="P211" s="213"/>
      <c r="Q211" s="213"/>
      <c r="R211" s="213"/>
      <c r="S211" s="213"/>
    </row>
    <row r="212" spans="2:19" s="214" customFormat="1" ht="46.8" hidden="1">
      <c r="B212" s="176" t="s">
        <v>72</v>
      </c>
      <c r="C212" s="157" t="s">
        <v>117</v>
      </c>
      <c r="D212" s="157" t="s">
        <v>90</v>
      </c>
      <c r="E212" s="157" t="s">
        <v>86</v>
      </c>
      <c r="F212" s="157" t="s">
        <v>279</v>
      </c>
      <c r="G212" s="157" t="s">
        <v>143</v>
      </c>
      <c r="H212" s="157" t="s">
        <v>63</v>
      </c>
      <c r="I212" s="157" t="s">
        <v>257</v>
      </c>
      <c r="J212" s="157" t="s">
        <v>73</v>
      </c>
      <c r="K212" s="216"/>
      <c r="L212" s="216"/>
      <c r="M212" s="216"/>
      <c r="N212" s="213"/>
      <c r="O212" s="213"/>
      <c r="P212" s="213"/>
      <c r="Q212" s="213"/>
      <c r="R212" s="213"/>
      <c r="S212" s="213"/>
    </row>
    <row r="213" spans="2:19" s="214" customFormat="1" ht="31.2">
      <c r="B213" s="176" t="s">
        <v>281</v>
      </c>
      <c r="C213" s="157" t="s">
        <v>117</v>
      </c>
      <c r="D213" s="157" t="s">
        <v>90</v>
      </c>
      <c r="E213" s="157" t="s">
        <v>86</v>
      </c>
      <c r="F213" s="157" t="s">
        <v>279</v>
      </c>
      <c r="G213" s="157" t="s">
        <v>143</v>
      </c>
      <c r="H213" s="157" t="s">
        <v>85</v>
      </c>
      <c r="I213" s="157" t="s">
        <v>145</v>
      </c>
      <c r="J213" s="157"/>
      <c r="K213" s="216">
        <f>K214+K217</f>
        <v>125</v>
      </c>
      <c r="L213" s="216">
        <f t="shared" ref="L213:M213" si="71">L214+L217</f>
        <v>150</v>
      </c>
      <c r="M213" s="216">
        <f t="shared" si="71"/>
        <v>150</v>
      </c>
      <c r="N213" s="213"/>
      <c r="O213" s="213"/>
      <c r="P213" s="213"/>
      <c r="Q213" s="213"/>
      <c r="R213" s="213"/>
      <c r="S213" s="213"/>
    </row>
    <row r="214" spans="2:19" s="214" customFormat="1" ht="15.6">
      <c r="B214" s="176" t="s">
        <v>333</v>
      </c>
      <c r="C214" s="157" t="s">
        <v>117</v>
      </c>
      <c r="D214" s="157" t="s">
        <v>90</v>
      </c>
      <c r="E214" s="157" t="s">
        <v>86</v>
      </c>
      <c r="F214" s="186" t="s">
        <v>279</v>
      </c>
      <c r="G214" s="186" t="s">
        <v>143</v>
      </c>
      <c r="H214" s="186" t="s">
        <v>85</v>
      </c>
      <c r="I214" s="186" t="s">
        <v>334</v>
      </c>
      <c r="J214" s="157"/>
      <c r="K214" s="216">
        <f>K215</f>
        <v>125</v>
      </c>
      <c r="L214" s="216">
        <f t="shared" ref="L214:M215" si="72">L215</f>
        <v>150</v>
      </c>
      <c r="M214" s="216">
        <f t="shared" si="72"/>
        <v>150</v>
      </c>
      <c r="N214" s="213"/>
      <c r="O214" s="213"/>
      <c r="P214" s="213"/>
      <c r="Q214" s="213"/>
      <c r="R214" s="213"/>
      <c r="S214" s="213"/>
    </row>
    <row r="215" spans="2:19" s="214" customFormat="1" ht="46.8">
      <c r="B215" s="176" t="s">
        <v>70</v>
      </c>
      <c r="C215" s="157" t="s">
        <v>117</v>
      </c>
      <c r="D215" s="157" t="s">
        <v>90</v>
      </c>
      <c r="E215" s="157" t="s">
        <v>86</v>
      </c>
      <c r="F215" s="186" t="s">
        <v>279</v>
      </c>
      <c r="G215" s="186" t="s">
        <v>143</v>
      </c>
      <c r="H215" s="186" t="s">
        <v>85</v>
      </c>
      <c r="I215" s="186" t="s">
        <v>334</v>
      </c>
      <c r="J215" s="157" t="s">
        <v>71</v>
      </c>
      <c r="K215" s="216">
        <f>K216</f>
        <v>125</v>
      </c>
      <c r="L215" s="216">
        <f t="shared" si="72"/>
        <v>150</v>
      </c>
      <c r="M215" s="216">
        <f t="shared" si="72"/>
        <v>150</v>
      </c>
      <c r="N215" s="213"/>
      <c r="O215" s="213"/>
      <c r="P215" s="213"/>
      <c r="Q215" s="213"/>
      <c r="R215" s="213"/>
      <c r="S215" s="213"/>
    </row>
    <row r="216" spans="2:19" s="214" customFormat="1" ht="46.8">
      <c r="B216" s="176" t="s">
        <v>72</v>
      </c>
      <c r="C216" s="157" t="s">
        <v>117</v>
      </c>
      <c r="D216" s="157" t="s">
        <v>90</v>
      </c>
      <c r="E216" s="157" t="s">
        <v>86</v>
      </c>
      <c r="F216" s="186" t="s">
        <v>279</v>
      </c>
      <c r="G216" s="186" t="s">
        <v>143</v>
      </c>
      <c r="H216" s="186" t="s">
        <v>85</v>
      </c>
      <c r="I216" s="186" t="s">
        <v>334</v>
      </c>
      <c r="J216" s="157" t="s">
        <v>73</v>
      </c>
      <c r="K216" s="216">
        <f>125</f>
        <v>125</v>
      </c>
      <c r="L216" s="216">
        <f>150</f>
        <v>150</v>
      </c>
      <c r="M216" s="216">
        <f>150</f>
        <v>150</v>
      </c>
      <c r="N216" s="213"/>
      <c r="O216" s="213"/>
      <c r="P216" s="213"/>
      <c r="Q216" s="213"/>
      <c r="R216" s="213"/>
      <c r="S216" s="213"/>
    </row>
    <row r="217" spans="2:19" s="214" customFormat="1" ht="15.6" hidden="1">
      <c r="B217" s="176" t="s">
        <v>256</v>
      </c>
      <c r="C217" s="157" t="s">
        <v>117</v>
      </c>
      <c r="D217" s="157" t="s">
        <v>90</v>
      </c>
      <c r="E217" s="157" t="s">
        <v>86</v>
      </c>
      <c r="F217" s="157" t="s">
        <v>279</v>
      </c>
      <c r="G217" s="157" t="s">
        <v>143</v>
      </c>
      <c r="H217" s="157" t="s">
        <v>85</v>
      </c>
      <c r="I217" s="157" t="s">
        <v>257</v>
      </c>
      <c r="J217" s="157"/>
      <c r="K217" s="216">
        <f>K218</f>
        <v>0</v>
      </c>
      <c r="L217" s="216">
        <f t="shared" ref="L217:M218" si="73">L218</f>
        <v>0</v>
      </c>
      <c r="M217" s="216">
        <f t="shared" si="73"/>
        <v>0</v>
      </c>
      <c r="N217" s="213"/>
      <c r="O217" s="213"/>
      <c r="P217" s="213"/>
      <c r="Q217" s="213"/>
      <c r="R217" s="213"/>
      <c r="S217" s="213"/>
    </row>
    <row r="218" spans="2:19" s="214" customFormat="1" ht="46.8" hidden="1">
      <c r="B218" s="176" t="s">
        <v>70</v>
      </c>
      <c r="C218" s="157" t="s">
        <v>117</v>
      </c>
      <c r="D218" s="157" t="s">
        <v>90</v>
      </c>
      <c r="E218" s="157" t="s">
        <v>86</v>
      </c>
      <c r="F218" s="157" t="s">
        <v>279</v>
      </c>
      <c r="G218" s="157" t="s">
        <v>143</v>
      </c>
      <c r="H218" s="157" t="s">
        <v>85</v>
      </c>
      <c r="I218" s="157" t="s">
        <v>257</v>
      </c>
      <c r="J218" s="157" t="s">
        <v>71</v>
      </c>
      <c r="K218" s="216">
        <f>K219</f>
        <v>0</v>
      </c>
      <c r="L218" s="216">
        <f t="shared" si="73"/>
        <v>0</v>
      </c>
      <c r="M218" s="216">
        <f t="shared" si="73"/>
        <v>0</v>
      </c>
      <c r="N218" s="213"/>
      <c r="O218" s="213"/>
      <c r="P218" s="213"/>
      <c r="Q218" s="213"/>
      <c r="R218" s="213"/>
      <c r="S218" s="213"/>
    </row>
    <row r="219" spans="2:19" s="214" customFormat="1" ht="46.8" hidden="1">
      <c r="B219" s="176" t="s">
        <v>72</v>
      </c>
      <c r="C219" s="157" t="s">
        <v>117</v>
      </c>
      <c r="D219" s="157" t="s">
        <v>90</v>
      </c>
      <c r="E219" s="157" t="s">
        <v>86</v>
      </c>
      <c r="F219" s="157" t="s">
        <v>279</v>
      </c>
      <c r="G219" s="157" t="s">
        <v>143</v>
      </c>
      <c r="H219" s="157" t="s">
        <v>85</v>
      </c>
      <c r="I219" s="157" t="s">
        <v>257</v>
      </c>
      <c r="J219" s="157" t="s">
        <v>73</v>
      </c>
      <c r="K219" s="216">
        <f>50-50</f>
        <v>0</v>
      </c>
      <c r="L219" s="216">
        <f t="shared" ref="L219:M219" si="74">50-50</f>
        <v>0</v>
      </c>
      <c r="M219" s="216">
        <f t="shared" si="74"/>
        <v>0</v>
      </c>
      <c r="N219" s="213"/>
      <c r="O219" s="213"/>
      <c r="P219" s="213"/>
      <c r="Q219" s="213"/>
      <c r="R219" s="213"/>
      <c r="S219" s="213"/>
    </row>
    <row r="220" spans="2:19" s="214" customFormat="1" ht="31.2">
      <c r="B220" s="176" t="s">
        <v>282</v>
      </c>
      <c r="C220" s="157" t="s">
        <v>117</v>
      </c>
      <c r="D220" s="157" t="s">
        <v>90</v>
      </c>
      <c r="E220" s="157" t="s">
        <v>86</v>
      </c>
      <c r="F220" s="157" t="s">
        <v>279</v>
      </c>
      <c r="G220" s="157" t="s">
        <v>143</v>
      </c>
      <c r="H220" s="157" t="s">
        <v>86</v>
      </c>
      <c r="I220" s="157" t="s">
        <v>145</v>
      </c>
      <c r="J220" s="157"/>
      <c r="K220" s="216">
        <f>K221+K224</f>
        <v>125</v>
      </c>
      <c r="L220" s="216">
        <f t="shared" ref="L220:M220" si="75">L221+L224</f>
        <v>150</v>
      </c>
      <c r="M220" s="216">
        <f t="shared" si="75"/>
        <v>150</v>
      </c>
      <c r="N220" s="213"/>
      <c r="O220" s="213"/>
      <c r="P220" s="213"/>
      <c r="Q220" s="213"/>
      <c r="R220" s="213"/>
      <c r="S220" s="213"/>
    </row>
    <row r="221" spans="2:19" s="214" customFormat="1" ht="31.2">
      <c r="B221" s="176" t="s">
        <v>335</v>
      </c>
      <c r="C221" s="157" t="s">
        <v>117</v>
      </c>
      <c r="D221" s="157" t="s">
        <v>90</v>
      </c>
      <c r="E221" s="157" t="s">
        <v>86</v>
      </c>
      <c r="F221" s="186" t="s">
        <v>279</v>
      </c>
      <c r="G221" s="186" t="s">
        <v>143</v>
      </c>
      <c r="H221" s="186" t="s">
        <v>86</v>
      </c>
      <c r="I221" s="186" t="s">
        <v>336</v>
      </c>
      <c r="J221" s="157"/>
      <c r="K221" s="216">
        <f>K222</f>
        <v>125</v>
      </c>
      <c r="L221" s="216">
        <f t="shared" ref="L221:M222" si="76">L222</f>
        <v>150</v>
      </c>
      <c r="M221" s="216">
        <f t="shared" si="76"/>
        <v>150</v>
      </c>
      <c r="N221" s="213"/>
      <c r="O221" s="213"/>
      <c r="P221" s="213"/>
      <c r="Q221" s="213"/>
      <c r="R221" s="213"/>
      <c r="S221" s="213"/>
    </row>
    <row r="222" spans="2:19" s="214" customFormat="1" ht="46.8">
      <c r="B222" s="176" t="s">
        <v>70</v>
      </c>
      <c r="C222" s="157" t="s">
        <v>117</v>
      </c>
      <c r="D222" s="157" t="s">
        <v>90</v>
      </c>
      <c r="E222" s="157" t="s">
        <v>86</v>
      </c>
      <c r="F222" s="186" t="s">
        <v>279</v>
      </c>
      <c r="G222" s="186" t="s">
        <v>143</v>
      </c>
      <c r="H222" s="186" t="s">
        <v>86</v>
      </c>
      <c r="I222" s="186" t="s">
        <v>336</v>
      </c>
      <c r="J222" s="157" t="s">
        <v>71</v>
      </c>
      <c r="K222" s="216">
        <f>K223</f>
        <v>125</v>
      </c>
      <c r="L222" s="216">
        <f t="shared" si="76"/>
        <v>150</v>
      </c>
      <c r="M222" s="216">
        <f t="shared" si="76"/>
        <v>150</v>
      </c>
      <c r="N222" s="213"/>
      <c r="O222" s="213"/>
      <c r="P222" s="213"/>
      <c r="Q222" s="213"/>
      <c r="R222" s="213"/>
      <c r="S222" s="213"/>
    </row>
    <row r="223" spans="2:19" s="214" customFormat="1" ht="46.8">
      <c r="B223" s="176" t="s">
        <v>72</v>
      </c>
      <c r="C223" s="157" t="s">
        <v>117</v>
      </c>
      <c r="D223" s="157" t="s">
        <v>90</v>
      </c>
      <c r="E223" s="157" t="s">
        <v>86</v>
      </c>
      <c r="F223" s="186" t="s">
        <v>279</v>
      </c>
      <c r="G223" s="186" t="s">
        <v>143</v>
      </c>
      <c r="H223" s="186" t="s">
        <v>86</v>
      </c>
      <c r="I223" s="186" t="s">
        <v>336</v>
      </c>
      <c r="J223" s="157" t="s">
        <v>73</v>
      </c>
      <c r="K223" s="216">
        <f>125</f>
        <v>125</v>
      </c>
      <c r="L223" s="216">
        <f>150</f>
        <v>150</v>
      </c>
      <c r="M223" s="216">
        <f>150</f>
        <v>150</v>
      </c>
      <c r="N223" s="213"/>
      <c r="O223" s="213"/>
      <c r="P223" s="213"/>
      <c r="Q223" s="213"/>
      <c r="R223" s="213"/>
      <c r="S223" s="213"/>
    </row>
    <row r="224" spans="2:19" s="214" customFormat="1" ht="15.6" hidden="1">
      <c r="B224" s="176" t="s">
        <v>256</v>
      </c>
      <c r="C224" s="157" t="s">
        <v>117</v>
      </c>
      <c r="D224" s="157" t="s">
        <v>90</v>
      </c>
      <c r="E224" s="157" t="s">
        <v>86</v>
      </c>
      <c r="F224" s="157" t="s">
        <v>279</v>
      </c>
      <c r="G224" s="157" t="s">
        <v>143</v>
      </c>
      <c r="H224" s="157" t="s">
        <v>86</v>
      </c>
      <c r="I224" s="157" t="s">
        <v>257</v>
      </c>
      <c r="J224" s="157"/>
      <c r="K224" s="216">
        <f>K225</f>
        <v>0</v>
      </c>
      <c r="L224" s="216">
        <f t="shared" ref="L224:M225" si="77">L225</f>
        <v>0</v>
      </c>
      <c r="M224" s="216">
        <f t="shared" si="77"/>
        <v>0</v>
      </c>
      <c r="N224" s="213"/>
      <c r="O224" s="213"/>
      <c r="P224" s="213"/>
      <c r="Q224" s="213"/>
      <c r="R224" s="213"/>
      <c r="S224" s="213"/>
    </row>
    <row r="225" spans="2:19" s="214" customFormat="1" ht="46.8" hidden="1">
      <c r="B225" s="176" t="s">
        <v>70</v>
      </c>
      <c r="C225" s="157" t="s">
        <v>117</v>
      </c>
      <c r="D225" s="157" t="s">
        <v>90</v>
      </c>
      <c r="E225" s="157" t="s">
        <v>86</v>
      </c>
      <c r="F225" s="157" t="s">
        <v>279</v>
      </c>
      <c r="G225" s="157" t="s">
        <v>143</v>
      </c>
      <c r="H225" s="157" t="s">
        <v>86</v>
      </c>
      <c r="I225" s="157" t="s">
        <v>257</v>
      </c>
      <c r="J225" s="157" t="s">
        <v>71</v>
      </c>
      <c r="K225" s="216">
        <f>K226</f>
        <v>0</v>
      </c>
      <c r="L225" s="216">
        <f t="shared" si="77"/>
        <v>0</v>
      </c>
      <c r="M225" s="216">
        <f t="shared" si="77"/>
        <v>0</v>
      </c>
      <c r="N225" s="213"/>
      <c r="O225" s="213"/>
      <c r="P225" s="213"/>
      <c r="Q225" s="213"/>
      <c r="R225" s="213"/>
      <c r="S225" s="213"/>
    </row>
    <row r="226" spans="2:19" s="214" customFormat="1" ht="46.8" hidden="1">
      <c r="B226" s="176" t="s">
        <v>72</v>
      </c>
      <c r="C226" s="157" t="s">
        <v>117</v>
      </c>
      <c r="D226" s="157" t="s">
        <v>90</v>
      </c>
      <c r="E226" s="157" t="s">
        <v>86</v>
      </c>
      <c r="F226" s="157" t="s">
        <v>279</v>
      </c>
      <c r="G226" s="157" t="s">
        <v>143</v>
      </c>
      <c r="H226" s="157" t="s">
        <v>86</v>
      </c>
      <c r="I226" s="157" t="s">
        <v>257</v>
      </c>
      <c r="J226" s="157" t="s">
        <v>73</v>
      </c>
      <c r="K226" s="216"/>
      <c r="L226" s="216"/>
      <c r="M226" s="216"/>
      <c r="N226" s="213"/>
      <c r="O226" s="213"/>
      <c r="P226" s="213"/>
      <c r="Q226" s="213"/>
      <c r="R226" s="213"/>
      <c r="S226" s="213"/>
    </row>
    <row r="227" spans="2:19" s="214" customFormat="1" ht="31.2">
      <c r="B227" s="176" t="s">
        <v>283</v>
      </c>
      <c r="C227" s="157" t="s">
        <v>117</v>
      </c>
      <c r="D227" s="157" t="s">
        <v>90</v>
      </c>
      <c r="E227" s="157" t="s">
        <v>86</v>
      </c>
      <c r="F227" s="157" t="s">
        <v>279</v>
      </c>
      <c r="G227" s="157" t="s">
        <v>143</v>
      </c>
      <c r="H227" s="157" t="s">
        <v>64</v>
      </c>
      <c r="I227" s="157" t="s">
        <v>145</v>
      </c>
      <c r="J227" s="157"/>
      <c r="K227" s="216">
        <f>K228+K231</f>
        <v>400</v>
      </c>
      <c r="L227" s="216">
        <f t="shared" ref="L227:M227" si="78">L228+L231</f>
        <v>250</v>
      </c>
      <c r="M227" s="216">
        <f t="shared" si="78"/>
        <v>250</v>
      </c>
      <c r="N227" s="213"/>
      <c r="O227" s="213"/>
      <c r="P227" s="213"/>
      <c r="Q227" s="213"/>
      <c r="R227" s="213"/>
      <c r="S227" s="213"/>
    </row>
    <row r="228" spans="2:19" s="214" customFormat="1" ht="31.2">
      <c r="B228" s="176" t="s">
        <v>337</v>
      </c>
      <c r="C228" s="157" t="s">
        <v>117</v>
      </c>
      <c r="D228" s="157" t="s">
        <v>90</v>
      </c>
      <c r="E228" s="157" t="s">
        <v>86</v>
      </c>
      <c r="F228" s="186" t="s">
        <v>279</v>
      </c>
      <c r="G228" s="186" t="s">
        <v>143</v>
      </c>
      <c r="H228" s="186" t="s">
        <v>64</v>
      </c>
      <c r="I228" s="186" t="s">
        <v>336</v>
      </c>
      <c r="J228" s="157"/>
      <c r="K228" s="216">
        <f>K229</f>
        <v>400</v>
      </c>
      <c r="L228" s="216">
        <f t="shared" ref="L228:M229" si="79">L229</f>
        <v>250</v>
      </c>
      <c r="M228" s="216">
        <f t="shared" si="79"/>
        <v>250</v>
      </c>
      <c r="N228" s="213"/>
      <c r="O228" s="213"/>
      <c r="P228" s="213"/>
      <c r="Q228" s="213"/>
      <c r="R228" s="213"/>
      <c r="S228" s="213"/>
    </row>
    <row r="229" spans="2:19" s="214" customFormat="1" ht="46.8">
      <c r="B229" s="176" t="s">
        <v>70</v>
      </c>
      <c r="C229" s="157" t="s">
        <v>117</v>
      </c>
      <c r="D229" s="157" t="s">
        <v>90</v>
      </c>
      <c r="E229" s="157" t="s">
        <v>86</v>
      </c>
      <c r="F229" s="186" t="s">
        <v>279</v>
      </c>
      <c r="G229" s="186" t="s">
        <v>143</v>
      </c>
      <c r="H229" s="186" t="s">
        <v>64</v>
      </c>
      <c r="I229" s="186" t="s">
        <v>336</v>
      </c>
      <c r="J229" s="157" t="s">
        <v>71</v>
      </c>
      <c r="K229" s="216">
        <f>K230</f>
        <v>400</v>
      </c>
      <c r="L229" s="216">
        <f t="shared" si="79"/>
        <v>250</v>
      </c>
      <c r="M229" s="216">
        <f t="shared" si="79"/>
        <v>250</v>
      </c>
      <c r="N229" s="213"/>
      <c r="O229" s="213"/>
      <c r="P229" s="213"/>
      <c r="Q229" s="213"/>
      <c r="R229" s="213"/>
      <c r="S229" s="213"/>
    </row>
    <row r="230" spans="2:19" s="214" customFormat="1" ht="46.8">
      <c r="B230" s="176" t="s">
        <v>72</v>
      </c>
      <c r="C230" s="157" t="s">
        <v>117</v>
      </c>
      <c r="D230" s="157" t="s">
        <v>90</v>
      </c>
      <c r="E230" s="157" t="s">
        <v>86</v>
      </c>
      <c r="F230" s="186" t="s">
        <v>279</v>
      </c>
      <c r="G230" s="186" t="s">
        <v>143</v>
      </c>
      <c r="H230" s="186" t="s">
        <v>64</v>
      </c>
      <c r="I230" s="186" t="s">
        <v>336</v>
      </c>
      <c r="J230" s="157" t="s">
        <v>73</v>
      </c>
      <c r="K230" s="216">
        <f>400</f>
        <v>400</v>
      </c>
      <c r="L230" s="216">
        <f>250</f>
        <v>250</v>
      </c>
      <c r="M230" s="216">
        <f>250</f>
        <v>250</v>
      </c>
      <c r="N230" s="213"/>
      <c r="O230" s="213"/>
      <c r="P230" s="213"/>
      <c r="Q230" s="213"/>
      <c r="R230" s="213"/>
      <c r="S230" s="213"/>
    </row>
    <row r="231" spans="2:19" s="214" customFormat="1" ht="15.6" hidden="1">
      <c r="B231" s="176" t="s">
        <v>256</v>
      </c>
      <c r="C231" s="157" t="s">
        <v>117</v>
      </c>
      <c r="D231" s="157" t="s">
        <v>90</v>
      </c>
      <c r="E231" s="157" t="s">
        <v>86</v>
      </c>
      <c r="F231" s="157" t="s">
        <v>279</v>
      </c>
      <c r="G231" s="157" t="s">
        <v>143</v>
      </c>
      <c r="H231" s="157" t="s">
        <v>64</v>
      </c>
      <c r="I231" s="157" t="s">
        <v>257</v>
      </c>
      <c r="J231" s="157"/>
      <c r="K231" s="216">
        <f>K232</f>
        <v>0</v>
      </c>
      <c r="L231" s="216">
        <f t="shared" ref="L231:M232" si="80">L232</f>
        <v>0</v>
      </c>
      <c r="M231" s="216">
        <f t="shared" si="80"/>
        <v>0</v>
      </c>
      <c r="N231" s="213"/>
      <c r="O231" s="213"/>
      <c r="P231" s="213"/>
      <c r="Q231" s="213"/>
      <c r="R231" s="213"/>
      <c r="S231" s="213"/>
    </row>
    <row r="232" spans="2:19" s="214" customFormat="1" ht="46.8" hidden="1">
      <c r="B232" s="176" t="s">
        <v>70</v>
      </c>
      <c r="C232" s="157" t="s">
        <v>117</v>
      </c>
      <c r="D232" s="157" t="s">
        <v>90</v>
      </c>
      <c r="E232" s="157" t="s">
        <v>86</v>
      </c>
      <c r="F232" s="157" t="s">
        <v>279</v>
      </c>
      <c r="G232" s="157" t="s">
        <v>143</v>
      </c>
      <c r="H232" s="157" t="s">
        <v>64</v>
      </c>
      <c r="I232" s="157" t="s">
        <v>257</v>
      </c>
      <c r="J232" s="157" t="s">
        <v>71</v>
      </c>
      <c r="K232" s="216">
        <f>K233</f>
        <v>0</v>
      </c>
      <c r="L232" s="216">
        <f t="shared" si="80"/>
        <v>0</v>
      </c>
      <c r="M232" s="216">
        <f t="shared" si="80"/>
        <v>0</v>
      </c>
      <c r="N232" s="213"/>
      <c r="O232" s="213"/>
      <c r="P232" s="213"/>
      <c r="Q232" s="213"/>
      <c r="R232" s="213"/>
      <c r="S232" s="213"/>
    </row>
    <row r="233" spans="2:19" s="214" customFormat="1" ht="46.8" hidden="1">
      <c r="B233" s="176" t="s">
        <v>72</v>
      </c>
      <c r="C233" s="157" t="s">
        <v>117</v>
      </c>
      <c r="D233" s="157" t="s">
        <v>90</v>
      </c>
      <c r="E233" s="157" t="s">
        <v>86</v>
      </c>
      <c r="F233" s="157" t="s">
        <v>279</v>
      </c>
      <c r="G233" s="157" t="s">
        <v>143</v>
      </c>
      <c r="H233" s="157" t="s">
        <v>64</v>
      </c>
      <c r="I233" s="157" t="s">
        <v>257</v>
      </c>
      <c r="J233" s="157" t="s">
        <v>73</v>
      </c>
      <c r="K233" s="216"/>
      <c r="L233" s="216"/>
      <c r="M233" s="216"/>
      <c r="N233" s="213"/>
      <c r="O233" s="213"/>
      <c r="P233" s="213"/>
      <c r="Q233" s="213"/>
      <c r="R233" s="213"/>
      <c r="S233" s="213"/>
    </row>
    <row r="234" spans="2:19" s="214" customFormat="1" ht="46.8">
      <c r="B234" s="176" t="s">
        <v>338</v>
      </c>
      <c r="C234" s="157" t="s">
        <v>117</v>
      </c>
      <c r="D234" s="157" t="s">
        <v>90</v>
      </c>
      <c r="E234" s="157" t="s">
        <v>86</v>
      </c>
      <c r="F234" s="157" t="s">
        <v>279</v>
      </c>
      <c r="G234" s="157" t="s">
        <v>143</v>
      </c>
      <c r="H234" s="157" t="s">
        <v>90</v>
      </c>
      <c r="I234" s="157" t="s">
        <v>145</v>
      </c>
      <c r="J234" s="157"/>
      <c r="K234" s="216">
        <f>K235+K238+K241+K244+K247+K250+K253+K256</f>
        <v>225</v>
      </c>
      <c r="L234" s="216">
        <f t="shared" ref="L234:M234" si="81">L235+L238+L241+L244+L247+L250+L253+L256</f>
        <v>250</v>
      </c>
      <c r="M234" s="216">
        <f t="shared" si="81"/>
        <v>250</v>
      </c>
      <c r="N234" s="213"/>
      <c r="O234" s="213"/>
      <c r="P234" s="213"/>
      <c r="Q234" s="213"/>
      <c r="R234" s="213"/>
      <c r="S234" s="213"/>
    </row>
    <row r="235" spans="2:19" s="214" customFormat="1" ht="31.2">
      <c r="B235" s="176" t="s">
        <v>339</v>
      </c>
      <c r="C235" s="157" t="s">
        <v>117</v>
      </c>
      <c r="D235" s="157" t="s">
        <v>90</v>
      </c>
      <c r="E235" s="157" t="s">
        <v>86</v>
      </c>
      <c r="F235" s="186" t="s">
        <v>279</v>
      </c>
      <c r="G235" s="186" t="s">
        <v>143</v>
      </c>
      <c r="H235" s="186" t="s">
        <v>90</v>
      </c>
      <c r="I235" s="186" t="s">
        <v>340</v>
      </c>
      <c r="J235" s="157"/>
      <c r="K235" s="216">
        <f>K236</f>
        <v>225</v>
      </c>
      <c r="L235" s="216">
        <f t="shared" ref="L235:M236" si="82">L236</f>
        <v>250</v>
      </c>
      <c r="M235" s="216">
        <f t="shared" si="82"/>
        <v>250</v>
      </c>
      <c r="N235" s="213"/>
      <c r="O235" s="213"/>
      <c r="P235" s="213"/>
      <c r="Q235" s="213"/>
      <c r="R235" s="213"/>
      <c r="S235" s="213"/>
    </row>
    <row r="236" spans="2:19" s="214" customFormat="1" ht="46.8">
      <c r="B236" s="176" t="s">
        <v>70</v>
      </c>
      <c r="C236" s="157" t="s">
        <v>117</v>
      </c>
      <c r="D236" s="157" t="s">
        <v>90</v>
      </c>
      <c r="E236" s="157" t="s">
        <v>86</v>
      </c>
      <c r="F236" s="186" t="s">
        <v>279</v>
      </c>
      <c r="G236" s="186" t="s">
        <v>143</v>
      </c>
      <c r="H236" s="186" t="s">
        <v>90</v>
      </c>
      <c r="I236" s="186" t="s">
        <v>340</v>
      </c>
      <c r="J236" s="157" t="s">
        <v>71</v>
      </c>
      <c r="K236" s="216">
        <f>K237</f>
        <v>225</v>
      </c>
      <c r="L236" s="216">
        <f t="shared" si="82"/>
        <v>250</v>
      </c>
      <c r="M236" s="216">
        <f t="shared" si="82"/>
        <v>250</v>
      </c>
      <c r="N236" s="213"/>
      <c r="O236" s="213"/>
      <c r="P236" s="213"/>
      <c r="Q236" s="213"/>
      <c r="R236" s="213"/>
      <c r="S236" s="213"/>
    </row>
    <row r="237" spans="2:19" s="214" customFormat="1" ht="46.8">
      <c r="B237" s="176" t="s">
        <v>72</v>
      </c>
      <c r="C237" s="157" t="s">
        <v>117</v>
      </c>
      <c r="D237" s="157" t="s">
        <v>90</v>
      </c>
      <c r="E237" s="157" t="s">
        <v>86</v>
      </c>
      <c r="F237" s="186" t="s">
        <v>279</v>
      </c>
      <c r="G237" s="186" t="s">
        <v>143</v>
      </c>
      <c r="H237" s="186" t="s">
        <v>90</v>
      </c>
      <c r="I237" s="186" t="s">
        <v>340</v>
      </c>
      <c r="J237" s="157" t="s">
        <v>73</v>
      </c>
      <c r="K237" s="216">
        <f>225</f>
        <v>225</v>
      </c>
      <c r="L237" s="216">
        <f>250</f>
        <v>250</v>
      </c>
      <c r="M237" s="216">
        <f>250</f>
        <v>250</v>
      </c>
      <c r="N237" s="213"/>
      <c r="O237" s="213"/>
      <c r="P237" s="213"/>
      <c r="Q237" s="213"/>
      <c r="R237" s="213"/>
      <c r="S237" s="213"/>
    </row>
    <row r="238" spans="2:19" s="214" customFormat="1" ht="31.2" hidden="1">
      <c r="B238" s="176" t="s">
        <v>341</v>
      </c>
      <c r="C238" s="157" t="s">
        <v>117</v>
      </c>
      <c r="D238" s="157" t="s">
        <v>90</v>
      </c>
      <c r="E238" s="157" t="s">
        <v>86</v>
      </c>
      <c r="F238" s="186" t="s">
        <v>279</v>
      </c>
      <c r="G238" s="186" t="s">
        <v>143</v>
      </c>
      <c r="H238" s="186" t="s">
        <v>90</v>
      </c>
      <c r="I238" s="186" t="s">
        <v>342</v>
      </c>
      <c r="J238" s="157"/>
      <c r="K238" s="216">
        <f>K239</f>
        <v>0</v>
      </c>
      <c r="L238" s="216">
        <f t="shared" ref="L238:M239" si="83">L239</f>
        <v>0</v>
      </c>
      <c r="M238" s="216">
        <f t="shared" si="83"/>
        <v>0</v>
      </c>
      <c r="N238" s="213"/>
      <c r="O238" s="213"/>
      <c r="P238" s="213"/>
      <c r="Q238" s="213"/>
      <c r="R238" s="213"/>
      <c r="S238" s="213"/>
    </row>
    <row r="239" spans="2:19" s="214" customFormat="1" ht="46.8" hidden="1">
      <c r="B239" s="176" t="s">
        <v>70</v>
      </c>
      <c r="C239" s="157" t="s">
        <v>117</v>
      </c>
      <c r="D239" s="157" t="s">
        <v>90</v>
      </c>
      <c r="E239" s="157" t="s">
        <v>86</v>
      </c>
      <c r="F239" s="186" t="s">
        <v>279</v>
      </c>
      <c r="G239" s="186" t="s">
        <v>143</v>
      </c>
      <c r="H239" s="186" t="s">
        <v>90</v>
      </c>
      <c r="I239" s="186" t="s">
        <v>342</v>
      </c>
      <c r="J239" s="157" t="s">
        <v>71</v>
      </c>
      <c r="K239" s="216">
        <f>K240</f>
        <v>0</v>
      </c>
      <c r="L239" s="216">
        <f t="shared" si="83"/>
        <v>0</v>
      </c>
      <c r="M239" s="216">
        <f t="shared" si="83"/>
        <v>0</v>
      </c>
      <c r="N239" s="213"/>
      <c r="O239" s="213"/>
      <c r="P239" s="213"/>
      <c r="Q239" s="213"/>
      <c r="R239" s="213"/>
      <c r="S239" s="213"/>
    </row>
    <row r="240" spans="2:19" s="214" customFormat="1" ht="46.8" hidden="1">
      <c r="B240" s="176" t="s">
        <v>72</v>
      </c>
      <c r="C240" s="157" t="s">
        <v>117</v>
      </c>
      <c r="D240" s="157" t="s">
        <v>90</v>
      </c>
      <c r="E240" s="157" t="s">
        <v>86</v>
      </c>
      <c r="F240" s="186" t="s">
        <v>279</v>
      </c>
      <c r="G240" s="186" t="s">
        <v>143</v>
      </c>
      <c r="H240" s="186" t="s">
        <v>90</v>
      </c>
      <c r="I240" s="186" t="s">
        <v>342</v>
      </c>
      <c r="J240" s="157" t="s">
        <v>73</v>
      </c>
      <c r="K240" s="216"/>
      <c r="L240" s="216"/>
      <c r="M240" s="216"/>
      <c r="N240" s="213"/>
      <c r="O240" s="213"/>
      <c r="P240" s="213"/>
      <c r="Q240" s="213"/>
      <c r="R240" s="213"/>
      <c r="S240" s="213"/>
    </row>
    <row r="241" spans="2:19" s="214" customFormat="1" ht="15.6" hidden="1">
      <c r="B241" s="176" t="s">
        <v>343</v>
      </c>
      <c r="C241" s="157" t="s">
        <v>117</v>
      </c>
      <c r="D241" s="157" t="s">
        <v>90</v>
      </c>
      <c r="E241" s="157" t="s">
        <v>86</v>
      </c>
      <c r="F241" s="186" t="s">
        <v>279</v>
      </c>
      <c r="G241" s="186" t="s">
        <v>143</v>
      </c>
      <c r="H241" s="186" t="s">
        <v>90</v>
      </c>
      <c r="I241" s="186" t="s">
        <v>344</v>
      </c>
      <c r="J241" s="157"/>
      <c r="K241" s="216">
        <f>K242</f>
        <v>0</v>
      </c>
      <c r="L241" s="216">
        <f t="shared" ref="L241:M242" si="84">L242</f>
        <v>0</v>
      </c>
      <c r="M241" s="216">
        <f t="shared" si="84"/>
        <v>0</v>
      </c>
      <c r="N241" s="213"/>
      <c r="O241" s="213"/>
      <c r="P241" s="213"/>
      <c r="Q241" s="213"/>
      <c r="R241" s="213"/>
      <c r="S241" s="213"/>
    </row>
    <row r="242" spans="2:19" s="214" customFormat="1" ht="46.8" hidden="1">
      <c r="B242" s="176" t="s">
        <v>70</v>
      </c>
      <c r="C242" s="157" t="s">
        <v>117</v>
      </c>
      <c r="D242" s="157" t="s">
        <v>90</v>
      </c>
      <c r="E242" s="157" t="s">
        <v>86</v>
      </c>
      <c r="F242" s="186" t="s">
        <v>279</v>
      </c>
      <c r="G242" s="186" t="s">
        <v>143</v>
      </c>
      <c r="H242" s="186" t="s">
        <v>90</v>
      </c>
      <c r="I242" s="186" t="s">
        <v>344</v>
      </c>
      <c r="J242" s="157" t="s">
        <v>71</v>
      </c>
      <c r="K242" s="216">
        <f>K243</f>
        <v>0</v>
      </c>
      <c r="L242" s="216">
        <f t="shared" si="84"/>
        <v>0</v>
      </c>
      <c r="M242" s="216">
        <f t="shared" si="84"/>
        <v>0</v>
      </c>
      <c r="N242" s="213"/>
      <c r="O242" s="213"/>
      <c r="P242" s="213"/>
      <c r="Q242" s="213"/>
      <c r="R242" s="213"/>
      <c r="S242" s="213"/>
    </row>
    <row r="243" spans="2:19" s="214" customFormat="1" ht="46.8" hidden="1">
      <c r="B243" s="176" t="s">
        <v>72</v>
      </c>
      <c r="C243" s="157" t="s">
        <v>117</v>
      </c>
      <c r="D243" s="157" t="s">
        <v>90</v>
      </c>
      <c r="E243" s="157" t="s">
        <v>86</v>
      </c>
      <c r="F243" s="186" t="s">
        <v>279</v>
      </c>
      <c r="G243" s="186" t="s">
        <v>143</v>
      </c>
      <c r="H243" s="186" t="s">
        <v>90</v>
      </c>
      <c r="I243" s="186" t="s">
        <v>344</v>
      </c>
      <c r="J243" s="157" t="s">
        <v>73</v>
      </c>
      <c r="K243" s="216"/>
      <c r="L243" s="216"/>
      <c r="M243" s="216"/>
      <c r="N243" s="213"/>
      <c r="O243" s="213"/>
      <c r="P243" s="213"/>
      <c r="Q243" s="213"/>
      <c r="R243" s="213"/>
      <c r="S243" s="213"/>
    </row>
    <row r="244" spans="2:19" s="214" customFormat="1" ht="31.2" hidden="1">
      <c r="B244" s="176" t="s">
        <v>345</v>
      </c>
      <c r="C244" s="157" t="s">
        <v>117</v>
      </c>
      <c r="D244" s="157" t="s">
        <v>90</v>
      </c>
      <c r="E244" s="157" t="s">
        <v>86</v>
      </c>
      <c r="F244" s="186" t="s">
        <v>279</v>
      </c>
      <c r="G244" s="186" t="s">
        <v>143</v>
      </c>
      <c r="H244" s="186" t="s">
        <v>90</v>
      </c>
      <c r="I244" s="186" t="s">
        <v>346</v>
      </c>
      <c r="J244" s="157"/>
      <c r="K244" s="216">
        <f>K245</f>
        <v>0</v>
      </c>
      <c r="L244" s="216">
        <f t="shared" ref="L244:M245" si="85">L245</f>
        <v>0</v>
      </c>
      <c r="M244" s="216">
        <f t="shared" si="85"/>
        <v>0</v>
      </c>
      <c r="N244" s="213"/>
      <c r="O244" s="213"/>
      <c r="P244" s="213"/>
      <c r="Q244" s="213"/>
      <c r="R244" s="213"/>
      <c r="S244" s="213"/>
    </row>
    <row r="245" spans="2:19" s="214" customFormat="1" ht="46.8" hidden="1">
      <c r="B245" s="176" t="s">
        <v>70</v>
      </c>
      <c r="C245" s="157" t="s">
        <v>117</v>
      </c>
      <c r="D245" s="157" t="s">
        <v>90</v>
      </c>
      <c r="E245" s="157" t="s">
        <v>86</v>
      </c>
      <c r="F245" s="186" t="s">
        <v>279</v>
      </c>
      <c r="G245" s="186" t="s">
        <v>143</v>
      </c>
      <c r="H245" s="186" t="s">
        <v>90</v>
      </c>
      <c r="I245" s="186" t="s">
        <v>346</v>
      </c>
      <c r="J245" s="157" t="s">
        <v>71</v>
      </c>
      <c r="K245" s="216">
        <f>K246</f>
        <v>0</v>
      </c>
      <c r="L245" s="216">
        <f t="shared" si="85"/>
        <v>0</v>
      </c>
      <c r="M245" s="216">
        <f t="shared" si="85"/>
        <v>0</v>
      </c>
      <c r="N245" s="213"/>
      <c r="O245" s="213"/>
      <c r="P245" s="213"/>
      <c r="Q245" s="213"/>
      <c r="R245" s="213"/>
      <c r="S245" s="213"/>
    </row>
    <row r="246" spans="2:19" s="214" customFormat="1" ht="46.8" hidden="1">
      <c r="B246" s="176" t="s">
        <v>72</v>
      </c>
      <c r="C246" s="157" t="s">
        <v>117</v>
      </c>
      <c r="D246" s="157" t="s">
        <v>90</v>
      </c>
      <c r="E246" s="157" t="s">
        <v>86</v>
      </c>
      <c r="F246" s="186" t="s">
        <v>279</v>
      </c>
      <c r="G246" s="186" t="s">
        <v>143</v>
      </c>
      <c r="H246" s="186" t="s">
        <v>90</v>
      </c>
      <c r="I246" s="186" t="s">
        <v>346</v>
      </c>
      <c r="J246" s="157" t="s">
        <v>73</v>
      </c>
      <c r="K246" s="216"/>
      <c r="L246" s="216"/>
      <c r="M246" s="216"/>
      <c r="N246" s="213"/>
      <c r="O246" s="213"/>
      <c r="P246" s="213"/>
      <c r="Q246" s="213"/>
      <c r="R246" s="213"/>
      <c r="S246" s="213"/>
    </row>
    <row r="247" spans="2:19" s="214" customFormat="1" ht="31.2" hidden="1">
      <c r="B247" s="176" t="s">
        <v>347</v>
      </c>
      <c r="C247" s="157" t="s">
        <v>117</v>
      </c>
      <c r="D247" s="157" t="s">
        <v>90</v>
      </c>
      <c r="E247" s="157" t="s">
        <v>86</v>
      </c>
      <c r="F247" s="186" t="s">
        <v>279</v>
      </c>
      <c r="G247" s="186" t="s">
        <v>143</v>
      </c>
      <c r="H247" s="186" t="s">
        <v>90</v>
      </c>
      <c r="I247" s="186" t="s">
        <v>348</v>
      </c>
      <c r="J247" s="157"/>
      <c r="K247" s="216">
        <f>K248</f>
        <v>0</v>
      </c>
      <c r="L247" s="216">
        <f t="shared" ref="L247:M248" si="86">L248</f>
        <v>0</v>
      </c>
      <c r="M247" s="216">
        <f t="shared" si="86"/>
        <v>0</v>
      </c>
      <c r="N247" s="213"/>
      <c r="O247" s="213"/>
      <c r="P247" s="213"/>
      <c r="Q247" s="213"/>
      <c r="R247" s="213"/>
      <c r="S247" s="213"/>
    </row>
    <row r="248" spans="2:19" s="214" customFormat="1" ht="46.8" hidden="1">
      <c r="B248" s="176" t="s">
        <v>70</v>
      </c>
      <c r="C248" s="157" t="s">
        <v>117</v>
      </c>
      <c r="D248" s="157" t="s">
        <v>90</v>
      </c>
      <c r="E248" s="157" t="s">
        <v>86</v>
      </c>
      <c r="F248" s="186" t="s">
        <v>279</v>
      </c>
      <c r="G248" s="186" t="s">
        <v>143</v>
      </c>
      <c r="H248" s="186" t="s">
        <v>90</v>
      </c>
      <c r="I248" s="186" t="s">
        <v>348</v>
      </c>
      <c r="J248" s="157" t="s">
        <v>71</v>
      </c>
      <c r="K248" s="216">
        <f>K249</f>
        <v>0</v>
      </c>
      <c r="L248" s="216">
        <f t="shared" si="86"/>
        <v>0</v>
      </c>
      <c r="M248" s="216">
        <f t="shared" si="86"/>
        <v>0</v>
      </c>
      <c r="N248" s="213"/>
      <c r="O248" s="213"/>
      <c r="P248" s="213"/>
      <c r="Q248" s="213"/>
      <c r="R248" s="213"/>
      <c r="S248" s="213"/>
    </row>
    <row r="249" spans="2:19" s="214" customFormat="1" ht="46.8" hidden="1">
      <c r="B249" s="176" t="s">
        <v>72</v>
      </c>
      <c r="C249" s="157" t="s">
        <v>117</v>
      </c>
      <c r="D249" s="157" t="s">
        <v>90</v>
      </c>
      <c r="E249" s="157" t="s">
        <v>86</v>
      </c>
      <c r="F249" s="186" t="s">
        <v>279</v>
      </c>
      <c r="G249" s="186" t="s">
        <v>143</v>
      </c>
      <c r="H249" s="186" t="s">
        <v>90</v>
      </c>
      <c r="I249" s="186" t="s">
        <v>348</v>
      </c>
      <c r="J249" s="157" t="s">
        <v>73</v>
      </c>
      <c r="K249" s="216"/>
      <c r="L249" s="216"/>
      <c r="M249" s="216"/>
      <c r="N249" s="213"/>
      <c r="O249" s="213"/>
      <c r="P249" s="213"/>
      <c r="Q249" s="213"/>
      <c r="R249" s="213"/>
      <c r="S249" s="213"/>
    </row>
    <row r="250" spans="2:19" s="214" customFormat="1" ht="31.2" hidden="1">
      <c r="B250" s="176" t="s">
        <v>349</v>
      </c>
      <c r="C250" s="157" t="s">
        <v>117</v>
      </c>
      <c r="D250" s="157" t="s">
        <v>90</v>
      </c>
      <c r="E250" s="157" t="s">
        <v>86</v>
      </c>
      <c r="F250" s="186" t="s">
        <v>279</v>
      </c>
      <c r="G250" s="186" t="s">
        <v>143</v>
      </c>
      <c r="H250" s="186" t="s">
        <v>90</v>
      </c>
      <c r="I250" s="186" t="s">
        <v>350</v>
      </c>
      <c r="J250" s="157"/>
      <c r="K250" s="216">
        <f>K251</f>
        <v>0</v>
      </c>
      <c r="L250" s="216">
        <f t="shared" ref="L250:M251" si="87">L251</f>
        <v>0</v>
      </c>
      <c r="M250" s="216">
        <f t="shared" si="87"/>
        <v>0</v>
      </c>
      <c r="N250" s="213"/>
      <c r="O250" s="213"/>
      <c r="P250" s="213"/>
      <c r="Q250" s="213"/>
      <c r="R250" s="213"/>
      <c r="S250" s="213"/>
    </row>
    <row r="251" spans="2:19" s="214" customFormat="1" ht="46.8" hidden="1">
      <c r="B251" s="176" t="s">
        <v>70</v>
      </c>
      <c r="C251" s="157" t="s">
        <v>117</v>
      </c>
      <c r="D251" s="157" t="s">
        <v>90</v>
      </c>
      <c r="E251" s="157" t="s">
        <v>86</v>
      </c>
      <c r="F251" s="186" t="s">
        <v>279</v>
      </c>
      <c r="G251" s="186" t="s">
        <v>143</v>
      </c>
      <c r="H251" s="186" t="s">
        <v>90</v>
      </c>
      <c r="I251" s="186" t="s">
        <v>350</v>
      </c>
      <c r="J251" s="157" t="s">
        <v>71</v>
      </c>
      <c r="K251" s="216">
        <f>K252</f>
        <v>0</v>
      </c>
      <c r="L251" s="216">
        <f t="shared" si="87"/>
        <v>0</v>
      </c>
      <c r="M251" s="216">
        <f t="shared" si="87"/>
        <v>0</v>
      </c>
      <c r="N251" s="213"/>
      <c r="O251" s="213"/>
      <c r="P251" s="213"/>
      <c r="Q251" s="213"/>
      <c r="R251" s="213"/>
      <c r="S251" s="213"/>
    </row>
    <row r="252" spans="2:19" s="214" customFormat="1" ht="46.8" hidden="1">
      <c r="B252" s="176" t="s">
        <v>72</v>
      </c>
      <c r="C252" s="157" t="s">
        <v>117</v>
      </c>
      <c r="D252" s="157" t="s">
        <v>90</v>
      </c>
      <c r="E252" s="157" t="s">
        <v>86</v>
      </c>
      <c r="F252" s="186" t="s">
        <v>279</v>
      </c>
      <c r="G252" s="186" t="s">
        <v>143</v>
      </c>
      <c r="H252" s="186" t="s">
        <v>90</v>
      </c>
      <c r="I252" s="186" t="s">
        <v>350</v>
      </c>
      <c r="J252" s="157" t="s">
        <v>73</v>
      </c>
      <c r="K252" s="216"/>
      <c r="L252" s="216"/>
      <c r="M252" s="216"/>
      <c r="N252" s="213"/>
      <c r="O252" s="213"/>
      <c r="P252" s="213"/>
      <c r="Q252" s="213"/>
      <c r="R252" s="213"/>
      <c r="S252" s="213"/>
    </row>
    <row r="253" spans="2:19" s="214" customFormat="1" ht="15.6" hidden="1">
      <c r="B253" s="176" t="s">
        <v>351</v>
      </c>
      <c r="C253" s="157" t="s">
        <v>117</v>
      </c>
      <c r="D253" s="157" t="s">
        <v>90</v>
      </c>
      <c r="E253" s="157" t="s">
        <v>86</v>
      </c>
      <c r="F253" s="186" t="s">
        <v>279</v>
      </c>
      <c r="G253" s="186" t="s">
        <v>143</v>
      </c>
      <c r="H253" s="186" t="s">
        <v>90</v>
      </c>
      <c r="I253" s="186" t="s">
        <v>352</v>
      </c>
      <c r="J253" s="157"/>
      <c r="K253" s="216">
        <f>K254</f>
        <v>0</v>
      </c>
      <c r="L253" s="216">
        <f t="shared" ref="L253:M254" si="88">L254</f>
        <v>0</v>
      </c>
      <c r="M253" s="216">
        <f t="shared" si="88"/>
        <v>0</v>
      </c>
      <c r="N253" s="213"/>
      <c r="O253" s="213"/>
      <c r="P253" s="213"/>
      <c r="Q253" s="213"/>
      <c r="R253" s="213"/>
      <c r="S253" s="213"/>
    </row>
    <row r="254" spans="2:19" s="214" customFormat="1" ht="46.8" hidden="1">
      <c r="B254" s="176" t="s">
        <v>70</v>
      </c>
      <c r="C254" s="157" t="s">
        <v>117</v>
      </c>
      <c r="D254" s="157" t="s">
        <v>90</v>
      </c>
      <c r="E254" s="157" t="s">
        <v>86</v>
      </c>
      <c r="F254" s="186" t="s">
        <v>279</v>
      </c>
      <c r="G254" s="186" t="s">
        <v>143</v>
      </c>
      <c r="H254" s="186" t="s">
        <v>90</v>
      </c>
      <c r="I254" s="186" t="s">
        <v>352</v>
      </c>
      <c r="J254" s="157" t="s">
        <v>71</v>
      </c>
      <c r="K254" s="216">
        <f>K255</f>
        <v>0</v>
      </c>
      <c r="L254" s="216">
        <f t="shared" si="88"/>
        <v>0</v>
      </c>
      <c r="M254" s="216">
        <f t="shared" si="88"/>
        <v>0</v>
      </c>
      <c r="N254" s="213"/>
      <c r="O254" s="213"/>
      <c r="P254" s="213"/>
      <c r="Q254" s="213"/>
      <c r="R254" s="213"/>
      <c r="S254" s="213"/>
    </row>
    <row r="255" spans="2:19" s="214" customFormat="1" ht="46.8" hidden="1">
      <c r="B255" s="176" t="s">
        <v>72</v>
      </c>
      <c r="C255" s="157" t="s">
        <v>117</v>
      </c>
      <c r="D255" s="157" t="s">
        <v>90</v>
      </c>
      <c r="E255" s="157" t="s">
        <v>86</v>
      </c>
      <c r="F255" s="186" t="s">
        <v>279</v>
      </c>
      <c r="G255" s="186" t="s">
        <v>143</v>
      </c>
      <c r="H255" s="186" t="s">
        <v>90</v>
      </c>
      <c r="I255" s="186" t="s">
        <v>352</v>
      </c>
      <c r="J255" s="157" t="s">
        <v>73</v>
      </c>
      <c r="K255" s="216"/>
      <c r="L255" s="216"/>
      <c r="M255" s="216"/>
      <c r="N255" s="213"/>
      <c r="O255" s="213"/>
      <c r="P255" s="213"/>
      <c r="Q255" s="213"/>
      <c r="R255" s="213"/>
      <c r="S255" s="213"/>
    </row>
    <row r="256" spans="2:19" s="214" customFormat="1" ht="15.6" hidden="1">
      <c r="B256" s="176" t="s">
        <v>256</v>
      </c>
      <c r="C256" s="157" t="s">
        <v>117</v>
      </c>
      <c r="D256" s="157" t="s">
        <v>90</v>
      </c>
      <c r="E256" s="157" t="s">
        <v>86</v>
      </c>
      <c r="F256" s="157" t="s">
        <v>279</v>
      </c>
      <c r="G256" s="157" t="s">
        <v>143</v>
      </c>
      <c r="H256" s="157" t="s">
        <v>90</v>
      </c>
      <c r="I256" s="157" t="s">
        <v>257</v>
      </c>
      <c r="J256" s="157"/>
      <c r="K256" s="216">
        <f>K257</f>
        <v>0</v>
      </c>
      <c r="L256" s="216">
        <f t="shared" ref="L256:M257" si="89">L257</f>
        <v>0</v>
      </c>
      <c r="M256" s="216">
        <f t="shared" si="89"/>
        <v>0</v>
      </c>
      <c r="N256" s="213"/>
      <c r="O256" s="213"/>
      <c r="P256" s="213"/>
      <c r="Q256" s="213"/>
      <c r="R256" s="213"/>
      <c r="S256" s="213"/>
    </row>
    <row r="257" spans="2:19" s="214" customFormat="1" ht="46.8" hidden="1">
      <c r="B257" s="176" t="s">
        <v>70</v>
      </c>
      <c r="C257" s="157" t="s">
        <v>117</v>
      </c>
      <c r="D257" s="157" t="s">
        <v>90</v>
      </c>
      <c r="E257" s="157" t="s">
        <v>86</v>
      </c>
      <c r="F257" s="157" t="s">
        <v>279</v>
      </c>
      <c r="G257" s="157" t="s">
        <v>143</v>
      </c>
      <c r="H257" s="157" t="s">
        <v>90</v>
      </c>
      <c r="I257" s="157" t="s">
        <v>257</v>
      </c>
      <c r="J257" s="157" t="s">
        <v>71</v>
      </c>
      <c r="K257" s="216">
        <f>K258</f>
        <v>0</v>
      </c>
      <c r="L257" s="216">
        <f t="shared" si="89"/>
        <v>0</v>
      </c>
      <c r="M257" s="216">
        <f t="shared" si="89"/>
        <v>0</v>
      </c>
      <c r="N257" s="213"/>
      <c r="O257" s="213"/>
      <c r="P257" s="213"/>
      <c r="Q257" s="213"/>
      <c r="R257" s="213"/>
      <c r="S257" s="213"/>
    </row>
    <row r="258" spans="2:19" s="214" customFormat="1" ht="46.8" hidden="1">
      <c r="B258" s="176" t="s">
        <v>72</v>
      </c>
      <c r="C258" s="157" t="s">
        <v>117</v>
      </c>
      <c r="D258" s="157" t="s">
        <v>90</v>
      </c>
      <c r="E258" s="157" t="s">
        <v>86</v>
      </c>
      <c r="F258" s="157" t="s">
        <v>279</v>
      </c>
      <c r="G258" s="157" t="s">
        <v>143</v>
      </c>
      <c r="H258" s="157" t="s">
        <v>90</v>
      </c>
      <c r="I258" s="157" t="s">
        <v>257</v>
      </c>
      <c r="J258" s="157" t="s">
        <v>73</v>
      </c>
      <c r="K258" s="216"/>
      <c r="L258" s="216"/>
      <c r="M258" s="216"/>
      <c r="N258" s="213"/>
      <c r="O258" s="213"/>
      <c r="P258" s="213"/>
      <c r="Q258" s="213"/>
      <c r="R258" s="213"/>
      <c r="S258" s="213"/>
    </row>
    <row r="259" spans="2:19" s="214" customFormat="1" ht="31.2">
      <c r="B259" s="176" t="s">
        <v>353</v>
      </c>
      <c r="C259" s="157" t="s">
        <v>117</v>
      </c>
      <c r="D259" s="157" t="s">
        <v>90</v>
      </c>
      <c r="E259" s="157" t="s">
        <v>86</v>
      </c>
      <c r="F259" s="157" t="s">
        <v>279</v>
      </c>
      <c r="G259" s="157" t="s">
        <v>143</v>
      </c>
      <c r="H259" s="157" t="s">
        <v>174</v>
      </c>
      <c r="I259" s="157" t="s">
        <v>145</v>
      </c>
      <c r="J259" s="157"/>
      <c r="K259" s="216">
        <f>K260+K263</f>
        <v>1600</v>
      </c>
      <c r="L259" s="216">
        <f t="shared" ref="L259:M259" si="90">L260+L263</f>
        <v>1000</v>
      </c>
      <c r="M259" s="216">
        <f t="shared" si="90"/>
        <v>0</v>
      </c>
      <c r="N259" s="213"/>
      <c r="O259" s="213"/>
      <c r="P259" s="213"/>
      <c r="Q259" s="213"/>
      <c r="R259" s="213"/>
      <c r="S259" s="213"/>
    </row>
    <row r="260" spans="2:19" s="214" customFormat="1" ht="15.6">
      <c r="B260" s="176" t="s">
        <v>256</v>
      </c>
      <c r="C260" s="157" t="s">
        <v>117</v>
      </c>
      <c r="D260" s="157" t="s">
        <v>90</v>
      </c>
      <c r="E260" s="157" t="s">
        <v>86</v>
      </c>
      <c r="F260" s="186" t="s">
        <v>279</v>
      </c>
      <c r="G260" s="186" t="s">
        <v>143</v>
      </c>
      <c r="H260" s="186" t="s">
        <v>174</v>
      </c>
      <c r="I260" s="186" t="s">
        <v>354</v>
      </c>
      <c r="J260" s="157"/>
      <c r="K260" s="216">
        <f>K261</f>
        <v>1600</v>
      </c>
      <c r="L260" s="216">
        <f t="shared" ref="L260:M261" si="91">L261</f>
        <v>1000</v>
      </c>
      <c r="M260" s="216">
        <f t="shared" si="91"/>
        <v>0</v>
      </c>
      <c r="N260" s="213"/>
      <c r="O260" s="213"/>
      <c r="P260" s="213"/>
      <c r="Q260" s="213"/>
      <c r="R260" s="213"/>
      <c r="S260" s="213"/>
    </row>
    <row r="261" spans="2:19" s="214" customFormat="1" ht="46.8">
      <c r="B261" s="176" t="s">
        <v>199</v>
      </c>
      <c r="C261" s="157" t="s">
        <v>117</v>
      </c>
      <c r="D261" s="157" t="s">
        <v>90</v>
      </c>
      <c r="E261" s="157" t="s">
        <v>86</v>
      </c>
      <c r="F261" s="186" t="s">
        <v>279</v>
      </c>
      <c r="G261" s="186" t="s">
        <v>143</v>
      </c>
      <c r="H261" s="186" t="s">
        <v>174</v>
      </c>
      <c r="I261" s="186" t="s">
        <v>354</v>
      </c>
      <c r="J261" s="157" t="s">
        <v>71</v>
      </c>
      <c r="K261" s="216">
        <f>K262</f>
        <v>1600</v>
      </c>
      <c r="L261" s="216">
        <f t="shared" si="91"/>
        <v>1000</v>
      </c>
      <c r="M261" s="216">
        <f t="shared" si="91"/>
        <v>0</v>
      </c>
      <c r="N261" s="213"/>
      <c r="O261" s="213"/>
      <c r="P261" s="213"/>
      <c r="Q261" s="213"/>
      <c r="R261" s="213"/>
      <c r="S261" s="213"/>
    </row>
    <row r="262" spans="2:19" s="214" customFormat="1" ht="46.8">
      <c r="B262" s="176" t="s">
        <v>72</v>
      </c>
      <c r="C262" s="157" t="s">
        <v>117</v>
      </c>
      <c r="D262" s="157" t="s">
        <v>90</v>
      </c>
      <c r="E262" s="157" t="s">
        <v>86</v>
      </c>
      <c r="F262" s="186" t="s">
        <v>279</v>
      </c>
      <c r="G262" s="186" t="s">
        <v>143</v>
      </c>
      <c r="H262" s="186" t="s">
        <v>174</v>
      </c>
      <c r="I262" s="186" t="s">
        <v>354</v>
      </c>
      <c r="J262" s="157" t="s">
        <v>73</v>
      </c>
      <c r="K262" s="216">
        <f>1600</f>
        <v>1600</v>
      </c>
      <c r="L262" s="249">
        <f>1000</f>
        <v>1000</v>
      </c>
      <c r="M262" s="249"/>
      <c r="N262" s="213"/>
      <c r="O262" s="213"/>
      <c r="P262" s="213"/>
      <c r="Q262" s="213"/>
      <c r="R262" s="213"/>
      <c r="S262" s="213"/>
    </row>
    <row r="263" spans="2:19" s="214" customFormat="1" ht="15.6" hidden="1">
      <c r="B263" s="176" t="s">
        <v>256</v>
      </c>
      <c r="C263" s="157" t="s">
        <v>117</v>
      </c>
      <c r="D263" s="157" t="s">
        <v>90</v>
      </c>
      <c r="E263" s="157" t="s">
        <v>86</v>
      </c>
      <c r="F263" s="157" t="s">
        <v>279</v>
      </c>
      <c r="G263" s="157" t="s">
        <v>143</v>
      </c>
      <c r="H263" s="157" t="s">
        <v>174</v>
      </c>
      <c r="I263" s="157" t="s">
        <v>257</v>
      </c>
      <c r="J263" s="157"/>
      <c r="K263" s="216">
        <f>K264</f>
        <v>0</v>
      </c>
      <c r="L263" s="216">
        <f t="shared" ref="L263:M264" si="92">L264</f>
        <v>0</v>
      </c>
      <c r="M263" s="216">
        <f t="shared" si="92"/>
        <v>0</v>
      </c>
      <c r="N263" s="213"/>
      <c r="O263" s="213"/>
      <c r="P263" s="213"/>
      <c r="Q263" s="213"/>
      <c r="R263" s="213"/>
      <c r="S263" s="213"/>
    </row>
    <row r="264" spans="2:19" s="214" customFormat="1" ht="46.8" hidden="1">
      <c r="B264" s="176" t="s">
        <v>199</v>
      </c>
      <c r="C264" s="157" t="s">
        <v>117</v>
      </c>
      <c r="D264" s="157" t="s">
        <v>90</v>
      </c>
      <c r="E264" s="157" t="s">
        <v>86</v>
      </c>
      <c r="F264" s="157" t="s">
        <v>279</v>
      </c>
      <c r="G264" s="157" t="s">
        <v>143</v>
      </c>
      <c r="H264" s="157" t="s">
        <v>174</v>
      </c>
      <c r="I264" s="157" t="s">
        <v>257</v>
      </c>
      <c r="J264" s="157" t="s">
        <v>71</v>
      </c>
      <c r="K264" s="216">
        <f>K265</f>
        <v>0</v>
      </c>
      <c r="L264" s="216">
        <f t="shared" si="92"/>
        <v>0</v>
      </c>
      <c r="M264" s="216">
        <f t="shared" si="92"/>
        <v>0</v>
      </c>
      <c r="N264" s="213"/>
      <c r="O264" s="213"/>
      <c r="P264" s="213"/>
      <c r="Q264" s="213"/>
      <c r="R264" s="213"/>
      <c r="S264" s="213"/>
    </row>
    <row r="265" spans="2:19" s="214" customFormat="1" ht="46.8" hidden="1">
      <c r="B265" s="176" t="s">
        <v>72</v>
      </c>
      <c r="C265" s="157" t="s">
        <v>117</v>
      </c>
      <c r="D265" s="157" t="s">
        <v>90</v>
      </c>
      <c r="E265" s="157" t="s">
        <v>86</v>
      </c>
      <c r="F265" s="157" t="s">
        <v>279</v>
      </c>
      <c r="G265" s="157" t="s">
        <v>143</v>
      </c>
      <c r="H265" s="157" t="s">
        <v>174</v>
      </c>
      <c r="I265" s="157" t="s">
        <v>257</v>
      </c>
      <c r="J265" s="157" t="s">
        <v>73</v>
      </c>
      <c r="K265" s="216"/>
      <c r="L265" s="216"/>
      <c r="M265" s="216"/>
      <c r="N265" s="213"/>
      <c r="O265" s="213"/>
      <c r="P265" s="213"/>
      <c r="Q265" s="213"/>
      <c r="R265" s="213"/>
      <c r="S265" s="213"/>
    </row>
    <row r="266" spans="2:19" s="214" customFormat="1" ht="46.8">
      <c r="B266" s="176" t="s">
        <v>355</v>
      </c>
      <c r="C266" s="157" t="s">
        <v>117</v>
      </c>
      <c r="D266" s="157" t="s">
        <v>90</v>
      </c>
      <c r="E266" s="157" t="s">
        <v>86</v>
      </c>
      <c r="F266" s="157" t="s">
        <v>279</v>
      </c>
      <c r="G266" s="157" t="s">
        <v>143</v>
      </c>
      <c r="H266" s="157" t="s">
        <v>78</v>
      </c>
      <c r="I266" s="157" t="s">
        <v>145</v>
      </c>
      <c r="J266" s="157"/>
      <c r="K266" s="216">
        <f>K267+K270+K273+K276</f>
        <v>14700</v>
      </c>
      <c r="L266" s="216">
        <f t="shared" ref="L266:M266" si="93">L267+L270+L273+L276</f>
        <v>15200.000000000002</v>
      </c>
      <c r="M266" s="216">
        <f t="shared" si="93"/>
        <v>15799.992599999998</v>
      </c>
      <c r="N266" s="213"/>
      <c r="O266" s="213"/>
      <c r="P266" s="213"/>
      <c r="Q266" s="213"/>
      <c r="R266" s="213"/>
      <c r="S266" s="213"/>
    </row>
    <row r="267" spans="2:19" s="214" customFormat="1" ht="31.2">
      <c r="B267" s="176" t="s">
        <v>356</v>
      </c>
      <c r="C267" s="157" t="s">
        <v>117</v>
      </c>
      <c r="D267" s="157" t="s">
        <v>90</v>
      </c>
      <c r="E267" s="157" t="s">
        <v>86</v>
      </c>
      <c r="F267" s="186" t="s">
        <v>279</v>
      </c>
      <c r="G267" s="186" t="s">
        <v>143</v>
      </c>
      <c r="H267" s="186" t="s">
        <v>78</v>
      </c>
      <c r="I267" s="186" t="s">
        <v>357</v>
      </c>
      <c r="J267" s="157"/>
      <c r="K267" s="216">
        <f>K268</f>
        <v>14700</v>
      </c>
      <c r="L267" s="216">
        <f t="shared" ref="L267:M268" si="94">L268</f>
        <v>15200.000000000002</v>
      </c>
      <c r="M267" s="216">
        <f t="shared" si="94"/>
        <v>15799.992599999998</v>
      </c>
      <c r="N267" s="213"/>
      <c r="O267" s="213"/>
      <c r="P267" s="213"/>
      <c r="Q267" s="213"/>
      <c r="R267" s="213"/>
      <c r="S267" s="213"/>
    </row>
    <row r="268" spans="2:19" s="214" customFormat="1" ht="46.8">
      <c r="B268" s="176" t="s">
        <v>199</v>
      </c>
      <c r="C268" s="157" t="s">
        <v>117</v>
      </c>
      <c r="D268" s="157" t="s">
        <v>90</v>
      </c>
      <c r="E268" s="157" t="s">
        <v>86</v>
      </c>
      <c r="F268" s="186" t="s">
        <v>279</v>
      </c>
      <c r="G268" s="186" t="s">
        <v>143</v>
      </c>
      <c r="H268" s="186" t="s">
        <v>78</v>
      </c>
      <c r="I268" s="186" t="s">
        <v>357</v>
      </c>
      <c r="J268" s="157" t="s">
        <v>71</v>
      </c>
      <c r="K268" s="216">
        <f>K269</f>
        <v>14700</v>
      </c>
      <c r="L268" s="216">
        <f t="shared" si="94"/>
        <v>15200.000000000002</v>
      </c>
      <c r="M268" s="216">
        <f t="shared" si="94"/>
        <v>15799.992599999998</v>
      </c>
      <c r="N268" s="213"/>
      <c r="O268" s="213"/>
      <c r="P268" s="213"/>
      <c r="Q268" s="213"/>
      <c r="R268" s="213"/>
      <c r="S268" s="213"/>
    </row>
    <row r="269" spans="2:19" s="214" customFormat="1" ht="46.8">
      <c r="B269" s="176" t="s">
        <v>72</v>
      </c>
      <c r="C269" s="157" t="s">
        <v>117</v>
      </c>
      <c r="D269" s="157" t="s">
        <v>90</v>
      </c>
      <c r="E269" s="157" t="s">
        <v>86</v>
      </c>
      <c r="F269" s="186" t="s">
        <v>279</v>
      </c>
      <c r="G269" s="186" t="s">
        <v>143</v>
      </c>
      <c r="H269" s="186" t="s">
        <v>78</v>
      </c>
      <c r="I269" s="186" t="s">
        <v>357</v>
      </c>
      <c r="J269" s="157" t="s">
        <v>73</v>
      </c>
      <c r="K269" s="216">
        <f>14700</f>
        <v>14700</v>
      </c>
      <c r="L269" s="248">
        <f>(14700*103.4%)+0.2</f>
        <v>15200.000000000002</v>
      </c>
      <c r="M269" s="248">
        <f>(15199.8*103.7%)+37.8</f>
        <v>15799.992599999998</v>
      </c>
      <c r="N269" s="213"/>
      <c r="O269" s="213"/>
      <c r="P269" s="213"/>
      <c r="Q269" s="213"/>
      <c r="R269" s="213"/>
      <c r="S269" s="213"/>
    </row>
    <row r="270" spans="2:19" s="214" customFormat="1" ht="46.8" hidden="1">
      <c r="B270" s="176" t="s">
        <v>358</v>
      </c>
      <c r="C270" s="157" t="s">
        <v>117</v>
      </c>
      <c r="D270" s="157" t="s">
        <v>90</v>
      </c>
      <c r="E270" s="157" t="s">
        <v>86</v>
      </c>
      <c r="F270" s="186" t="s">
        <v>279</v>
      </c>
      <c r="G270" s="186" t="s">
        <v>143</v>
      </c>
      <c r="H270" s="186" t="s">
        <v>78</v>
      </c>
      <c r="I270" s="186" t="s">
        <v>359</v>
      </c>
      <c r="J270" s="157"/>
      <c r="K270" s="216">
        <f>K271</f>
        <v>0</v>
      </c>
      <c r="L270" s="216">
        <f t="shared" ref="L270:M271" si="95">L271</f>
        <v>0</v>
      </c>
      <c r="M270" s="216">
        <f t="shared" si="95"/>
        <v>0</v>
      </c>
      <c r="N270" s="213"/>
      <c r="O270" s="213"/>
      <c r="P270" s="213"/>
      <c r="Q270" s="213"/>
      <c r="R270" s="213"/>
      <c r="S270" s="213"/>
    </row>
    <row r="271" spans="2:19" s="214" customFormat="1" ht="46.8" hidden="1">
      <c r="B271" s="176" t="s">
        <v>199</v>
      </c>
      <c r="C271" s="157" t="s">
        <v>117</v>
      </c>
      <c r="D271" s="157" t="s">
        <v>90</v>
      </c>
      <c r="E271" s="157" t="s">
        <v>86</v>
      </c>
      <c r="F271" s="186" t="s">
        <v>279</v>
      </c>
      <c r="G271" s="186" t="s">
        <v>143</v>
      </c>
      <c r="H271" s="186" t="s">
        <v>78</v>
      </c>
      <c r="I271" s="186" t="s">
        <v>359</v>
      </c>
      <c r="J271" s="157" t="s">
        <v>71</v>
      </c>
      <c r="K271" s="216">
        <f>K272</f>
        <v>0</v>
      </c>
      <c r="L271" s="216">
        <f t="shared" si="95"/>
        <v>0</v>
      </c>
      <c r="M271" s="216">
        <f t="shared" si="95"/>
        <v>0</v>
      </c>
      <c r="N271" s="213"/>
      <c r="O271" s="213"/>
      <c r="P271" s="213"/>
      <c r="Q271" s="213"/>
      <c r="R271" s="213"/>
      <c r="S271" s="213"/>
    </row>
    <row r="272" spans="2:19" s="214" customFormat="1" ht="46.8" hidden="1">
      <c r="B272" s="176" t="s">
        <v>72</v>
      </c>
      <c r="C272" s="157" t="s">
        <v>117</v>
      </c>
      <c r="D272" s="157" t="s">
        <v>90</v>
      </c>
      <c r="E272" s="157" t="s">
        <v>86</v>
      </c>
      <c r="F272" s="186" t="s">
        <v>279</v>
      </c>
      <c r="G272" s="186" t="s">
        <v>143</v>
      </c>
      <c r="H272" s="186" t="s">
        <v>78</v>
      </c>
      <c r="I272" s="186" t="s">
        <v>359</v>
      </c>
      <c r="J272" s="157" t="s">
        <v>73</v>
      </c>
      <c r="K272" s="216"/>
      <c r="L272" s="216"/>
      <c r="M272" s="216"/>
      <c r="N272" s="213"/>
      <c r="O272" s="213"/>
      <c r="P272" s="213"/>
      <c r="Q272" s="213"/>
      <c r="R272" s="213"/>
      <c r="S272" s="213"/>
    </row>
    <row r="273" spans="2:19" s="214" customFormat="1" ht="46.8" hidden="1">
      <c r="B273" s="176" t="s">
        <v>360</v>
      </c>
      <c r="C273" s="157" t="s">
        <v>117</v>
      </c>
      <c r="D273" s="157" t="s">
        <v>90</v>
      </c>
      <c r="E273" s="157" t="s">
        <v>86</v>
      </c>
      <c r="F273" s="186" t="s">
        <v>279</v>
      </c>
      <c r="G273" s="186" t="s">
        <v>143</v>
      </c>
      <c r="H273" s="186" t="s">
        <v>78</v>
      </c>
      <c r="I273" s="186" t="s">
        <v>361</v>
      </c>
      <c r="J273" s="157"/>
      <c r="K273" s="216">
        <f>K274</f>
        <v>0</v>
      </c>
      <c r="L273" s="216">
        <f t="shared" ref="L273:M274" si="96">L274</f>
        <v>0</v>
      </c>
      <c r="M273" s="216">
        <f t="shared" si="96"/>
        <v>0</v>
      </c>
      <c r="N273" s="213"/>
      <c r="O273" s="213"/>
      <c r="P273" s="213"/>
      <c r="Q273" s="213"/>
      <c r="R273" s="213"/>
      <c r="S273" s="213"/>
    </row>
    <row r="274" spans="2:19" s="214" customFormat="1" ht="46.8" hidden="1">
      <c r="B274" s="176" t="s">
        <v>199</v>
      </c>
      <c r="C274" s="157" t="s">
        <v>117</v>
      </c>
      <c r="D274" s="157" t="s">
        <v>90</v>
      </c>
      <c r="E274" s="157" t="s">
        <v>86</v>
      </c>
      <c r="F274" s="186" t="s">
        <v>279</v>
      </c>
      <c r="G274" s="186" t="s">
        <v>143</v>
      </c>
      <c r="H274" s="186" t="s">
        <v>78</v>
      </c>
      <c r="I274" s="186" t="s">
        <v>361</v>
      </c>
      <c r="J274" s="157" t="s">
        <v>71</v>
      </c>
      <c r="K274" s="216">
        <f>K275</f>
        <v>0</v>
      </c>
      <c r="L274" s="216">
        <f t="shared" si="96"/>
        <v>0</v>
      </c>
      <c r="M274" s="216">
        <f t="shared" si="96"/>
        <v>0</v>
      </c>
      <c r="N274" s="213"/>
      <c r="O274" s="213"/>
      <c r="P274" s="213"/>
      <c r="Q274" s="213"/>
      <c r="R274" s="213"/>
      <c r="S274" s="213"/>
    </row>
    <row r="275" spans="2:19" s="214" customFormat="1" ht="46.8" hidden="1">
      <c r="B275" s="176" t="s">
        <v>72</v>
      </c>
      <c r="C275" s="157" t="s">
        <v>117</v>
      </c>
      <c r="D275" s="157" t="s">
        <v>90</v>
      </c>
      <c r="E275" s="157" t="s">
        <v>86</v>
      </c>
      <c r="F275" s="186" t="s">
        <v>279</v>
      </c>
      <c r="G275" s="186" t="s">
        <v>143</v>
      </c>
      <c r="H275" s="186" t="s">
        <v>78</v>
      </c>
      <c r="I275" s="186" t="s">
        <v>361</v>
      </c>
      <c r="J275" s="157" t="s">
        <v>73</v>
      </c>
      <c r="K275" s="216"/>
      <c r="L275" s="216"/>
      <c r="M275" s="216"/>
      <c r="N275" s="213"/>
      <c r="O275" s="213"/>
      <c r="P275" s="213"/>
      <c r="Q275" s="213"/>
      <c r="R275" s="213"/>
      <c r="S275" s="213"/>
    </row>
    <row r="276" spans="2:19" s="214" customFormat="1" ht="15.6" hidden="1">
      <c r="B276" s="176" t="s">
        <v>256</v>
      </c>
      <c r="C276" s="157" t="s">
        <v>117</v>
      </c>
      <c r="D276" s="157" t="s">
        <v>90</v>
      </c>
      <c r="E276" s="157" t="s">
        <v>86</v>
      </c>
      <c r="F276" s="157" t="s">
        <v>279</v>
      </c>
      <c r="G276" s="157" t="s">
        <v>143</v>
      </c>
      <c r="H276" s="157" t="s">
        <v>78</v>
      </c>
      <c r="I276" s="157" t="s">
        <v>257</v>
      </c>
      <c r="J276" s="157"/>
      <c r="K276" s="216">
        <f>K277</f>
        <v>0</v>
      </c>
      <c r="L276" s="216">
        <f t="shared" ref="L276:M277" si="97">L277</f>
        <v>0</v>
      </c>
      <c r="M276" s="216">
        <f t="shared" si="97"/>
        <v>0</v>
      </c>
      <c r="N276" s="213"/>
      <c r="O276" s="213"/>
      <c r="P276" s="213"/>
      <c r="Q276" s="213"/>
      <c r="R276" s="213"/>
      <c r="S276" s="213"/>
    </row>
    <row r="277" spans="2:19" s="214" customFormat="1" ht="46.8" hidden="1">
      <c r="B277" s="176" t="s">
        <v>199</v>
      </c>
      <c r="C277" s="157" t="s">
        <v>117</v>
      </c>
      <c r="D277" s="157" t="s">
        <v>90</v>
      </c>
      <c r="E277" s="157" t="s">
        <v>86</v>
      </c>
      <c r="F277" s="157" t="s">
        <v>279</v>
      </c>
      <c r="G277" s="157" t="s">
        <v>143</v>
      </c>
      <c r="H277" s="157" t="s">
        <v>78</v>
      </c>
      <c r="I277" s="157" t="s">
        <v>257</v>
      </c>
      <c r="J277" s="157" t="s">
        <v>71</v>
      </c>
      <c r="K277" s="216">
        <f>K278</f>
        <v>0</v>
      </c>
      <c r="L277" s="216">
        <f t="shared" si="97"/>
        <v>0</v>
      </c>
      <c r="M277" s="216">
        <f t="shared" si="97"/>
        <v>0</v>
      </c>
      <c r="N277" s="213"/>
      <c r="O277" s="213"/>
      <c r="P277" s="213"/>
      <c r="Q277" s="213"/>
      <c r="R277" s="213"/>
      <c r="S277" s="213"/>
    </row>
    <row r="278" spans="2:19" s="214" customFormat="1" ht="46.8" hidden="1">
      <c r="B278" s="176" t="s">
        <v>72</v>
      </c>
      <c r="C278" s="157" t="s">
        <v>117</v>
      </c>
      <c r="D278" s="157" t="s">
        <v>90</v>
      </c>
      <c r="E278" s="157" t="s">
        <v>86</v>
      </c>
      <c r="F278" s="157" t="s">
        <v>279</v>
      </c>
      <c r="G278" s="157" t="s">
        <v>143</v>
      </c>
      <c r="H278" s="157" t="s">
        <v>78</v>
      </c>
      <c r="I278" s="157" t="s">
        <v>257</v>
      </c>
      <c r="J278" s="157" t="s">
        <v>73</v>
      </c>
      <c r="K278" s="216"/>
      <c r="L278" s="216"/>
      <c r="M278" s="216"/>
      <c r="N278" s="213"/>
      <c r="O278" s="213"/>
      <c r="P278" s="213"/>
      <c r="Q278" s="213"/>
      <c r="R278" s="213"/>
      <c r="S278" s="213"/>
    </row>
    <row r="279" spans="2:19" s="214" customFormat="1" ht="46.8">
      <c r="B279" s="176" t="s">
        <v>298</v>
      </c>
      <c r="C279" s="157" t="s">
        <v>117</v>
      </c>
      <c r="D279" s="157" t="s">
        <v>90</v>
      </c>
      <c r="E279" s="157" t="s">
        <v>86</v>
      </c>
      <c r="F279" s="186" t="s">
        <v>279</v>
      </c>
      <c r="G279" s="186" t="s">
        <v>143</v>
      </c>
      <c r="H279" s="186" t="s">
        <v>284</v>
      </c>
      <c r="I279" s="186" t="s">
        <v>145</v>
      </c>
      <c r="J279" s="157"/>
      <c r="K279" s="216">
        <f>K280+K283</f>
        <v>2500</v>
      </c>
      <c r="L279" s="216">
        <f t="shared" ref="L279:M279" si="98">L280+L283</f>
        <v>2500</v>
      </c>
      <c r="M279" s="216">
        <f t="shared" si="98"/>
        <v>2500</v>
      </c>
      <c r="N279" s="213"/>
      <c r="O279" s="213"/>
      <c r="P279" s="213"/>
      <c r="Q279" s="213"/>
      <c r="R279" s="213"/>
      <c r="S279" s="213"/>
    </row>
    <row r="280" spans="2:19" s="214" customFormat="1" ht="15.6">
      <c r="B280" s="176" t="s">
        <v>256</v>
      </c>
      <c r="C280" s="157" t="s">
        <v>117</v>
      </c>
      <c r="D280" s="157" t="s">
        <v>90</v>
      </c>
      <c r="E280" s="157" t="s">
        <v>86</v>
      </c>
      <c r="F280" s="186" t="s">
        <v>279</v>
      </c>
      <c r="G280" s="186" t="s">
        <v>143</v>
      </c>
      <c r="H280" s="186" t="s">
        <v>284</v>
      </c>
      <c r="I280" s="186" t="s">
        <v>362</v>
      </c>
      <c r="J280" s="157"/>
      <c r="K280" s="216">
        <f>K281</f>
        <v>2500</v>
      </c>
      <c r="L280" s="216">
        <f t="shared" ref="L280:M281" si="99">L281</f>
        <v>2500</v>
      </c>
      <c r="M280" s="216">
        <f t="shared" si="99"/>
        <v>2500</v>
      </c>
      <c r="N280" s="213"/>
      <c r="O280" s="213"/>
      <c r="P280" s="213"/>
      <c r="Q280" s="213"/>
      <c r="R280" s="213"/>
      <c r="S280" s="213"/>
    </row>
    <row r="281" spans="2:19" s="214" customFormat="1" ht="46.8">
      <c r="B281" s="176" t="s">
        <v>199</v>
      </c>
      <c r="C281" s="157" t="s">
        <v>117</v>
      </c>
      <c r="D281" s="157" t="s">
        <v>90</v>
      </c>
      <c r="E281" s="157" t="s">
        <v>86</v>
      </c>
      <c r="F281" s="186" t="s">
        <v>279</v>
      </c>
      <c r="G281" s="186" t="s">
        <v>143</v>
      </c>
      <c r="H281" s="186" t="s">
        <v>284</v>
      </c>
      <c r="I281" s="186" t="s">
        <v>362</v>
      </c>
      <c r="J281" s="157" t="s">
        <v>71</v>
      </c>
      <c r="K281" s="216">
        <f>K282</f>
        <v>2500</v>
      </c>
      <c r="L281" s="216">
        <f t="shared" si="99"/>
        <v>2500</v>
      </c>
      <c r="M281" s="216">
        <f t="shared" si="99"/>
        <v>2500</v>
      </c>
      <c r="N281" s="213"/>
      <c r="O281" s="213"/>
      <c r="P281" s="213"/>
      <c r="Q281" s="213"/>
      <c r="R281" s="213"/>
      <c r="S281" s="213"/>
    </row>
    <row r="282" spans="2:19" s="214" customFormat="1" ht="46.8">
      <c r="B282" s="176" t="s">
        <v>72</v>
      </c>
      <c r="C282" s="157" t="s">
        <v>117</v>
      </c>
      <c r="D282" s="157" t="s">
        <v>90</v>
      </c>
      <c r="E282" s="157" t="s">
        <v>86</v>
      </c>
      <c r="F282" s="186" t="s">
        <v>279</v>
      </c>
      <c r="G282" s="186" t="s">
        <v>143</v>
      </c>
      <c r="H282" s="186" t="s">
        <v>284</v>
      </c>
      <c r="I282" s="186" t="s">
        <v>362</v>
      </c>
      <c r="J282" s="157" t="s">
        <v>73</v>
      </c>
      <c r="K282" s="216">
        <f>2500</f>
        <v>2500</v>
      </c>
      <c r="L282" s="216">
        <f>2500</f>
        <v>2500</v>
      </c>
      <c r="M282" s="216">
        <f>2500</f>
        <v>2500</v>
      </c>
      <c r="N282" s="213"/>
      <c r="O282" s="213"/>
      <c r="P282" s="213"/>
      <c r="Q282" s="213"/>
      <c r="R282" s="213"/>
      <c r="S282" s="213"/>
    </row>
    <row r="283" spans="2:19" s="214" customFormat="1" ht="15.6" hidden="1">
      <c r="B283" s="176" t="s">
        <v>256</v>
      </c>
      <c r="C283" s="157" t="s">
        <v>117</v>
      </c>
      <c r="D283" s="157" t="s">
        <v>90</v>
      </c>
      <c r="E283" s="157" t="s">
        <v>86</v>
      </c>
      <c r="F283" s="157" t="s">
        <v>279</v>
      </c>
      <c r="G283" s="157" t="s">
        <v>143</v>
      </c>
      <c r="H283" s="157" t="s">
        <v>284</v>
      </c>
      <c r="I283" s="157" t="s">
        <v>257</v>
      </c>
      <c r="J283" s="157"/>
      <c r="K283" s="216">
        <f>K284</f>
        <v>0</v>
      </c>
      <c r="L283" s="216">
        <f t="shared" ref="L283:M284" si="100">L284</f>
        <v>0</v>
      </c>
      <c r="M283" s="216">
        <f t="shared" si="100"/>
        <v>0</v>
      </c>
      <c r="N283" s="213"/>
      <c r="O283" s="213"/>
      <c r="P283" s="213"/>
      <c r="Q283" s="213"/>
      <c r="R283" s="213"/>
      <c r="S283" s="213"/>
    </row>
    <row r="284" spans="2:19" s="214" customFormat="1" ht="46.8" hidden="1">
      <c r="B284" s="176" t="s">
        <v>199</v>
      </c>
      <c r="C284" s="157" t="s">
        <v>117</v>
      </c>
      <c r="D284" s="157" t="s">
        <v>90</v>
      </c>
      <c r="E284" s="157" t="s">
        <v>86</v>
      </c>
      <c r="F284" s="157" t="s">
        <v>279</v>
      </c>
      <c r="G284" s="157" t="s">
        <v>143</v>
      </c>
      <c r="H284" s="157" t="s">
        <v>284</v>
      </c>
      <c r="I284" s="157" t="s">
        <v>257</v>
      </c>
      <c r="J284" s="157" t="s">
        <v>71</v>
      </c>
      <c r="K284" s="216">
        <f>K285</f>
        <v>0</v>
      </c>
      <c r="L284" s="216">
        <f t="shared" si="100"/>
        <v>0</v>
      </c>
      <c r="M284" s="216">
        <f t="shared" si="100"/>
        <v>0</v>
      </c>
      <c r="N284" s="213"/>
      <c r="O284" s="213"/>
      <c r="P284" s="213"/>
      <c r="Q284" s="213"/>
      <c r="R284" s="213"/>
      <c r="S284" s="213"/>
    </row>
    <row r="285" spans="2:19" s="214" customFormat="1" ht="46.8" hidden="1">
      <c r="B285" s="176" t="s">
        <v>72</v>
      </c>
      <c r="C285" s="157" t="s">
        <v>117</v>
      </c>
      <c r="D285" s="157" t="s">
        <v>90</v>
      </c>
      <c r="E285" s="157" t="s">
        <v>86</v>
      </c>
      <c r="F285" s="157" t="s">
        <v>279</v>
      </c>
      <c r="G285" s="157" t="s">
        <v>143</v>
      </c>
      <c r="H285" s="157" t="s">
        <v>284</v>
      </c>
      <c r="I285" s="157" t="s">
        <v>257</v>
      </c>
      <c r="J285" s="157" t="s">
        <v>73</v>
      </c>
      <c r="K285" s="216"/>
      <c r="L285" s="216"/>
      <c r="M285" s="216"/>
      <c r="N285" s="213"/>
      <c r="O285" s="213"/>
      <c r="P285" s="213"/>
      <c r="Q285" s="213"/>
      <c r="R285" s="213"/>
      <c r="S285" s="213"/>
    </row>
    <row r="286" spans="2:19" s="214" customFormat="1" ht="31.2" hidden="1">
      <c r="B286" s="176" t="s">
        <v>285</v>
      </c>
      <c r="C286" s="157" t="s">
        <v>117</v>
      </c>
      <c r="D286" s="157" t="s">
        <v>90</v>
      </c>
      <c r="E286" s="157" t="s">
        <v>86</v>
      </c>
      <c r="F286" s="157" t="s">
        <v>279</v>
      </c>
      <c r="G286" s="157" t="s">
        <v>143</v>
      </c>
      <c r="H286" s="157" t="s">
        <v>87</v>
      </c>
      <c r="I286" s="157" t="s">
        <v>145</v>
      </c>
      <c r="J286" s="157"/>
      <c r="K286" s="216">
        <f>K287+K290</f>
        <v>0</v>
      </c>
      <c r="L286" s="216">
        <f t="shared" ref="L286:M286" si="101">L287+L290</f>
        <v>0</v>
      </c>
      <c r="M286" s="216">
        <f t="shared" si="101"/>
        <v>0</v>
      </c>
      <c r="N286" s="213"/>
      <c r="O286" s="213"/>
      <c r="P286" s="213"/>
      <c r="Q286" s="213"/>
      <c r="R286" s="213"/>
      <c r="S286" s="213"/>
    </row>
    <row r="287" spans="2:19" s="214" customFormat="1" ht="31.2" hidden="1">
      <c r="B287" s="176" t="s">
        <v>363</v>
      </c>
      <c r="C287" s="157" t="s">
        <v>117</v>
      </c>
      <c r="D287" s="157" t="s">
        <v>90</v>
      </c>
      <c r="E287" s="157" t="s">
        <v>86</v>
      </c>
      <c r="F287" s="186" t="s">
        <v>279</v>
      </c>
      <c r="G287" s="186" t="s">
        <v>143</v>
      </c>
      <c r="H287" s="186" t="s">
        <v>87</v>
      </c>
      <c r="I287" s="186" t="s">
        <v>364</v>
      </c>
      <c r="J287" s="157"/>
      <c r="K287" s="216">
        <f>K288</f>
        <v>0</v>
      </c>
      <c r="L287" s="216">
        <f t="shared" ref="L287:M288" si="102">L288</f>
        <v>0</v>
      </c>
      <c r="M287" s="216">
        <f t="shared" si="102"/>
        <v>0</v>
      </c>
      <c r="N287" s="213"/>
      <c r="O287" s="213"/>
      <c r="P287" s="213"/>
      <c r="Q287" s="213"/>
      <c r="R287" s="213"/>
      <c r="S287" s="213"/>
    </row>
    <row r="288" spans="2:19" s="214" customFormat="1" ht="46.8" hidden="1">
      <c r="B288" s="176" t="s">
        <v>199</v>
      </c>
      <c r="C288" s="157" t="s">
        <v>117</v>
      </c>
      <c r="D288" s="157" t="s">
        <v>90</v>
      </c>
      <c r="E288" s="157" t="s">
        <v>86</v>
      </c>
      <c r="F288" s="186" t="s">
        <v>279</v>
      </c>
      <c r="G288" s="186" t="s">
        <v>143</v>
      </c>
      <c r="H288" s="186" t="s">
        <v>87</v>
      </c>
      <c r="I288" s="186" t="s">
        <v>364</v>
      </c>
      <c r="J288" s="157" t="s">
        <v>71</v>
      </c>
      <c r="K288" s="216">
        <f>K289</f>
        <v>0</v>
      </c>
      <c r="L288" s="216">
        <f t="shared" si="102"/>
        <v>0</v>
      </c>
      <c r="M288" s="216">
        <f t="shared" si="102"/>
        <v>0</v>
      </c>
      <c r="N288" s="213"/>
      <c r="O288" s="213"/>
      <c r="P288" s="213"/>
      <c r="Q288" s="213"/>
      <c r="R288" s="213"/>
      <c r="S288" s="213"/>
    </row>
    <row r="289" spans="2:19" s="214" customFormat="1" ht="46.8" hidden="1">
      <c r="B289" s="176" t="s">
        <v>72</v>
      </c>
      <c r="C289" s="157" t="s">
        <v>117</v>
      </c>
      <c r="D289" s="157" t="s">
        <v>90</v>
      </c>
      <c r="E289" s="157" t="s">
        <v>86</v>
      </c>
      <c r="F289" s="186" t="s">
        <v>279</v>
      </c>
      <c r="G289" s="186" t="s">
        <v>143</v>
      </c>
      <c r="H289" s="186" t="s">
        <v>87</v>
      </c>
      <c r="I289" s="186" t="s">
        <v>364</v>
      </c>
      <c r="J289" s="157" t="s">
        <v>73</v>
      </c>
      <c r="K289" s="216"/>
      <c r="L289" s="216"/>
      <c r="M289" s="216"/>
      <c r="N289" s="213"/>
      <c r="O289" s="213"/>
      <c r="P289" s="213"/>
      <c r="Q289" s="213"/>
      <c r="R289" s="213"/>
      <c r="S289" s="213"/>
    </row>
    <row r="290" spans="2:19" s="214" customFormat="1" ht="15.6" hidden="1">
      <c r="B290" s="176" t="s">
        <v>256</v>
      </c>
      <c r="C290" s="157" t="s">
        <v>117</v>
      </c>
      <c r="D290" s="157" t="s">
        <v>90</v>
      </c>
      <c r="E290" s="157" t="s">
        <v>86</v>
      </c>
      <c r="F290" s="157" t="s">
        <v>279</v>
      </c>
      <c r="G290" s="157" t="s">
        <v>143</v>
      </c>
      <c r="H290" s="157" t="s">
        <v>87</v>
      </c>
      <c r="I290" s="157" t="s">
        <v>257</v>
      </c>
      <c r="J290" s="157"/>
      <c r="K290" s="216">
        <f>K291</f>
        <v>0</v>
      </c>
      <c r="L290" s="216">
        <f t="shared" ref="L290:M291" si="103">L291</f>
        <v>0</v>
      </c>
      <c r="M290" s="216">
        <f t="shared" si="103"/>
        <v>0</v>
      </c>
      <c r="N290" s="213"/>
      <c r="O290" s="213"/>
      <c r="P290" s="213"/>
      <c r="Q290" s="213"/>
      <c r="R290" s="213"/>
      <c r="S290" s="213"/>
    </row>
    <row r="291" spans="2:19" s="214" customFormat="1" ht="46.8" hidden="1">
      <c r="B291" s="176" t="s">
        <v>199</v>
      </c>
      <c r="C291" s="157" t="s">
        <v>117</v>
      </c>
      <c r="D291" s="157" t="s">
        <v>90</v>
      </c>
      <c r="E291" s="157" t="s">
        <v>86</v>
      </c>
      <c r="F291" s="157" t="s">
        <v>279</v>
      </c>
      <c r="G291" s="157" t="s">
        <v>143</v>
      </c>
      <c r="H291" s="157" t="s">
        <v>87</v>
      </c>
      <c r="I291" s="157" t="s">
        <v>257</v>
      </c>
      <c r="J291" s="157" t="s">
        <v>71</v>
      </c>
      <c r="K291" s="216">
        <f>K292</f>
        <v>0</v>
      </c>
      <c r="L291" s="216">
        <f t="shared" si="103"/>
        <v>0</v>
      </c>
      <c r="M291" s="216">
        <f t="shared" si="103"/>
        <v>0</v>
      </c>
      <c r="N291" s="213"/>
      <c r="O291" s="213"/>
      <c r="P291" s="213"/>
      <c r="Q291" s="213"/>
      <c r="R291" s="213"/>
      <c r="S291" s="213"/>
    </row>
    <row r="292" spans="2:19" s="214" customFormat="1" ht="46.8" hidden="1">
      <c r="B292" s="176" t="s">
        <v>72</v>
      </c>
      <c r="C292" s="157" t="s">
        <v>117</v>
      </c>
      <c r="D292" s="157" t="s">
        <v>90</v>
      </c>
      <c r="E292" s="157" t="s">
        <v>86</v>
      </c>
      <c r="F292" s="157" t="s">
        <v>279</v>
      </c>
      <c r="G292" s="157" t="s">
        <v>143</v>
      </c>
      <c r="H292" s="157" t="s">
        <v>87</v>
      </c>
      <c r="I292" s="157" t="s">
        <v>257</v>
      </c>
      <c r="J292" s="157" t="s">
        <v>73</v>
      </c>
      <c r="K292" s="216"/>
      <c r="L292" s="216"/>
      <c r="M292" s="216"/>
      <c r="N292" s="213"/>
      <c r="O292" s="213"/>
      <c r="P292" s="213"/>
      <c r="Q292" s="213"/>
      <c r="R292" s="213"/>
      <c r="S292" s="213"/>
    </row>
    <row r="293" spans="2:19" s="214" customFormat="1" ht="31.2">
      <c r="B293" s="176" t="s">
        <v>286</v>
      </c>
      <c r="C293" s="157" t="s">
        <v>117</v>
      </c>
      <c r="D293" s="157" t="s">
        <v>90</v>
      </c>
      <c r="E293" s="157" t="s">
        <v>86</v>
      </c>
      <c r="F293" s="157" t="s">
        <v>279</v>
      </c>
      <c r="G293" s="157" t="s">
        <v>143</v>
      </c>
      <c r="H293" s="157" t="s">
        <v>96</v>
      </c>
      <c r="I293" s="157" t="s">
        <v>145</v>
      </c>
      <c r="J293" s="157"/>
      <c r="K293" s="216">
        <f>K294+K297</f>
        <v>100</v>
      </c>
      <c r="L293" s="216">
        <f t="shared" ref="L293:M293" si="104">L294+L297</f>
        <v>100</v>
      </c>
      <c r="M293" s="216">
        <f t="shared" si="104"/>
        <v>100</v>
      </c>
      <c r="N293" s="213"/>
      <c r="O293" s="213"/>
      <c r="P293" s="213"/>
      <c r="Q293" s="213"/>
      <c r="R293" s="213"/>
      <c r="S293" s="213"/>
    </row>
    <row r="294" spans="2:19" s="214" customFormat="1" ht="15.6">
      <c r="B294" s="176" t="s">
        <v>365</v>
      </c>
      <c r="C294" s="157" t="s">
        <v>117</v>
      </c>
      <c r="D294" s="157" t="s">
        <v>90</v>
      </c>
      <c r="E294" s="157" t="s">
        <v>86</v>
      </c>
      <c r="F294" s="186" t="s">
        <v>279</v>
      </c>
      <c r="G294" s="186" t="s">
        <v>143</v>
      </c>
      <c r="H294" s="186" t="s">
        <v>96</v>
      </c>
      <c r="I294" s="186" t="s">
        <v>366</v>
      </c>
      <c r="J294" s="157"/>
      <c r="K294" s="216">
        <f>K295</f>
        <v>100</v>
      </c>
      <c r="L294" s="216">
        <f t="shared" ref="L294:M295" si="105">L295</f>
        <v>100</v>
      </c>
      <c r="M294" s="216">
        <f t="shared" si="105"/>
        <v>100</v>
      </c>
      <c r="N294" s="213"/>
      <c r="O294" s="213"/>
      <c r="P294" s="213"/>
      <c r="Q294" s="213"/>
      <c r="R294" s="213"/>
      <c r="S294" s="213"/>
    </row>
    <row r="295" spans="2:19" s="214" customFormat="1" ht="46.8">
      <c r="B295" s="176" t="s">
        <v>199</v>
      </c>
      <c r="C295" s="157" t="s">
        <v>117</v>
      </c>
      <c r="D295" s="157" t="s">
        <v>90</v>
      </c>
      <c r="E295" s="157" t="s">
        <v>86</v>
      </c>
      <c r="F295" s="186" t="s">
        <v>279</v>
      </c>
      <c r="G295" s="186" t="s">
        <v>143</v>
      </c>
      <c r="H295" s="186" t="s">
        <v>96</v>
      </c>
      <c r="I295" s="186" t="s">
        <v>366</v>
      </c>
      <c r="J295" s="157" t="s">
        <v>71</v>
      </c>
      <c r="K295" s="216">
        <f>K296</f>
        <v>100</v>
      </c>
      <c r="L295" s="216">
        <f t="shared" si="105"/>
        <v>100</v>
      </c>
      <c r="M295" s="216">
        <f t="shared" si="105"/>
        <v>100</v>
      </c>
      <c r="N295" s="213"/>
      <c r="O295" s="213"/>
      <c r="P295" s="213"/>
      <c r="Q295" s="213"/>
      <c r="R295" s="213"/>
      <c r="S295" s="213"/>
    </row>
    <row r="296" spans="2:19" s="214" customFormat="1" ht="46.8">
      <c r="B296" s="176" t="s">
        <v>72</v>
      </c>
      <c r="C296" s="157" t="s">
        <v>117</v>
      </c>
      <c r="D296" s="157" t="s">
        <v>90</v>
      </c>
      <c r="E296" s="157" t="s">
        <v>86</v>
      </c>
      <c r="F296" s="186" t="s">
        <v>279</v>
      </c>
      <c r="G296" s="186" t="s">
        <v>143</v>
      </c>
      <c r="H296" s="186" t="s">
        <v>96</v>
      </c>
      <c r="I296" s="186" t="s">
        <v>366</v>
      </c>
      <c r="J296" s="157" t="s">
        <v>73</v>
      </c>
      <c r="K296" s="216">
        <f>100</f>
        <v>100</v>
      </c>
      <c r="L296" s="216">
        <f>100</f>
        <v>100</v>
      </c>
      <c r="M296" s="216">
        <f>100</f>
        <v>100</v>
      </c>
      <c r="N296" s="213"/>
      <c r="O296" s="213"/>
      <c r="P296" s="213"/>
      <c r="Q296" s="213"/>
      <c r="R296" s="213"/>
      <c r="S296" s="213"/>
    </row>
    <row r="297" spans="2:19" s="214" customFormat="1" ht="15.6" hidden="1">
      <c r="B297" s="176" t="s">
        <v>256</v>
      </c>
      <c r="C297" s="157" t="s">
        <v>117</v>
      </c>
      <c r="D297" s="157" t="s">
        <v>90</v>
      </c>
      <c r="E297" s="157" t="s">
        <v>86</v>
      </c>
      <c r="F297" s="157" t="s">
        <v>279</v>
      </c>
      <c r="G297" s="157" t="s">
        <v>143</v>
      </c>
      <c r="H297" s="157" t="s">
        <v>96</v>
      </c>
      <c r="I297" s="157" t="s">
        <v>257</v>
      </c>
      <c r="J297" s="157"/>
      <c r="K297" s="216">
        <f>K298</f>
        <v>0</v>
      </c>
      <c r="L297" s="216">
        <f t="shared" ref="L297:M298" si="106">L298</f>
        <v>0</v>
      </c>
      <c r="M297" s="216">
        <f t="shared" si="106"/>
        <v>0</v>
      </c>
      <c r="N297" s="213"/>
      <c r="O297" s="213"/>
      <c r="P297" s="213"/>
      <c r="Q297" s="213"/>
      <c r="R297" s="213"/>
      <c r="S297" s="213"/>
    </row>
    <row r="298" spans="2:19" s="214" customFormat="1" ht="46.8" hidden="1">
      <c r="B298" s="176" t="s">
        <v>199</v>
      </c>
      <c r="C298" s="157" t="s">
        <v>117</v>
      </c>
      <c r="D298" s="157" t="s">
        <v>90</v>
      </c>
      <c r="E298" s="157" t="s">
        <v>86</v>
      </c>
      <c r="F298" s="157" t="s">
        <v>279</v>
      </c>
      <c r="G298" s="157" t="s">
        <v>143</v>
      </c>
      <c r="H298" s="157" t="s">
        <v>96</v>
      </c>
      <c r="I298" s="157" t="s">
        <v>257</v>
      </c>
      <c r="J298" s="157" t="s">
        <v>71</v>
      </c>
      <c r="K298" s="216">
        <f>K299</f>
        <v>0</v>
      </c>
      <c r="L298" s="216">
        <f t="shared" si="106"/>
        <v>0</v>
      </c>
      <c r="M298" s="216">
        <f t="shared" si="106"/>
        <v>0</v>
      </c>
      <c r="N298" s="213"/>
      <c r="O298" s="213"/>
      <c r="P298" s="213"/>
      <c r="Q298" s="213"/>
      <c r="R298" s="213"/>
      <c r="S298" s="213"/>
    </row>
    <row r="299" spans="2:19" s="214" customFormat="1" ht="46.8" hidden="1">
      <c r="B299" s="176" t="s">
        <v>72</v>
      </c>
      <c r="C299" s="157" t="s">
        <v>117</v>
      </c>
      <c r="D299" s="157" t="s">
        <v>90</v>
      </c>
      <c r="E299" s="157" t="s">
        <v>86</v>
      </c>
      <c r="F299" s="157" t="s">
        <v>279</v>
      </c>
      <c r="G299" s="157" t="s">
        <v>143</v>
      </c>
      <c r="H299" s="157" t="s">
        <v>96</v>
      </c>
      <c r="I299" s="157" t="s">
        <v>257</v>
      </c>
      <c r="J299" s="157" t="s">
        <v>73</v>
      </c>
      <c r="K299" s="216"/>
      <c r="L299" s="216"/>
      <c r="M299" s="216"/>
      <c r="N299" s="213"/>
      <c r="O299" s="213"/>
      <c r="P299" s="213"/>
      <c r="Q299" s="213"/>
      <c r="R299" s="213"/>
      <c r="S299" s="213"/>
    </row>
    <row r="300" spans="2:19" s="214" customFormat="1" ht="46.8">
      <c r="B300" s="176" t="s">
        <v>287</v>
      </c>
      <c r="C300" s="157" t="s">
        <v>117</v>
      </c>
      <c r="D300" s="157" t="s">
        <v>90</v>
      </c>
      <c r="E300" s="157" t="s">
        <v>86</v>
      </c>
      <c r="F300" s="157" t="s">
        <v>279</v>
      </c>
      <c r="G300" s="157" t="s">
        <v>143</v>
      </c>
      <c r="H300" s="157" t="s">
        <v>79</v>
      </c>
      <c r="I300" s="157" t="s">
        <v>145</v>
      </c>
      <c r="J300" s="157"/>
      <c r="K300" s="216">
        <f>K301+K304</f>
        <v>5200</v>
      </c>
      <c r="L300" s="216">
        <f t="shared" ref="L300:M300" si="107">L301+L304</f>
        <v>5400</v>
      </c>
      <c r="M300" s="216">
        <f t="shared" si="107"/>
        <v>5600.0415999999996</v>
      </c>
      <c r="N300" s="213"/>
      <c r="O300" s="213"/>
      <c r="P300" s="213"/>
      <c r="Q300" s="213"/>
      <c r="R300" s="213"/>
      <c r="S300" s="213"/>
    </row>
    <row r="301" spans="2:19" s="214" customFormat="1" ht="31.2">
      <c r="B301" s="176" t="s">
        <v>367</v>
      </c>
      <c r="C301" s="157" t="s">
        <v>117</v>
      </c>
      <c r="D301" s="157" t="s">
        <v>90</v>
      </c>
      <c r="E301" s="157" t="s">
        <v>86</v>
      </c>
      <c r="F301" s="186" t="s">
        <v>279</v>
      </c>
      <c r="G301" s="186" t="s">
        <v>143</v>
      </c>
      <c r="H301" s="186" t="s">
        <v>79</v>
      </c>
      <c r="I301" s="186" t="s">
        <v>368</v>
      </c>
      <c r="J301" s="157"/>
      <c r="K301" s="216">
        <f>K302</f>
        <v>5200</v>
      </c>
      <c r="L301" s="216">
        <f t="shared" ref="L301:M302" si="108">L302</f>
        <v>5400</v>
      </c>
      <c r="M301" s="216">
        <f t="shared" si="108"/>
        <v>5600.0415999999996</v>
      </c>
      <c r="N301" s="213"/>
      <c r="O301" s="213"/>
      <c r="P301" s="213"/>
      <c r="Q301" s="213"/>
      <c r="R301" s="213"/>
      <c r="S301" s="213"/>
    </row>
    <row r="302" spans="2:19" s="214" customFormat="1" ht="46.8">
      <c r="B302" s="176" t="s">
        <v>199</v>
      </c>
      <c r="C302" s="157" t="s">
        <v>117</v>
      </c>
      <c r="D302" s="157" t="s">
        <v>90</v>
      </c>
      <c r="E302" s="157" t="s">
        <v>86</v>
      </c>
      <c r="F302" s="186" t="s">
        <v>279</v>
      </c>
      <c r="G302" s="186" t="s">
        <v>143</v>
      </c>
      <c r="H302" s="186" t="s">
        <v>79</v>
      </c>
      <c r="I302" s="186" t="s">
        <v>368</v>
      </c>
      <c r="J302" s="157" t="s">
        <v>71</v>
      </c>
      <c r="K302" s="216">
        <f>K303</f>
        <v>5200</v>
      </c>
      <c r="L302" s="216">
        <f t="shared" si="108"/>
        <v>5400</v>
      </c>
      <c r="M302" s="216">
        <f t="shared" si="108"/>
        <v>5600.0415999999996</v>
      </c>
      <c r="N302" s="213"/>
      <c r="O302" s="213"/>
      <c r="P302" s="213"/>
      <c r="Q302" s="213"/>
      <c r="R302" s="213"/>
      <c r="S302" s="213"/>
    </row>
    <row r="303" spans="2:19" s="214" customFormat="1" ht="46.8">
      <c r="B303" s="176" t="s">
        <v>72</v>
      </c>
      <c r="C303" s="157" t="s">
        <v>117</v>
      </c>
      <c r="D303" s="157" t="s">
        <v>90</v>
      </c>
      <c r="E303" s="157" t="s">
        <v>86</v>
      </c>
      <c r="F303" s="186" t="s">
        <v>279</v>
      </c>
      <c r="G303" s="186" t="s">
        <v>143</v>
      </c>
      <c r="H303" s="186" t="s">
        <v>79</v>
      </c>
      <c r="I303" s="186" t="s">
        <v>368</v>
      </c>
      <c r="J303" s="157" t="s">
        <v>73</v>
      </c>
      <c r="K303" s="216">
        <f>5200</f>
        <v>5200</v>
      </c>
      <c r="L303" s="248">
        <f>(5200*103.4%)+23.2</f>
        <v>5400</v>
      </c>
      <c r="M303" s="248">
        <f>(5376.8*103.7%)+24.3</f>
        <v>5600.0415999999996</v>
      </c>
      <c r="N303" s="213"/>
      <c r="O303" s="213"/>
      <c r="P303" s="213"/>
      <c r="Q303" s="213"/>
      <c r="R303" s="213"/>
      <c r="S303" s="213"/>
    </row>
    <row r="304" spans="2:19" s="214" customFormat="1" ht="15.6" hidden="1">
      <c r="B304" s="176" t="s">
        <v>256</v>
      </c>
      <c r="C304" s="157" t="s">
        <v>117</v>
      </c>
      <c r="D304" s="157" t="s">
        <v>90</v>
      </c>
      <c r="E304" s="157" t="s">
        <v>86</v>
      </c>
      <c r="F304" s="157" t="s">
        <v>279</v>
      </c>
      <c r="G304" s="157" t="s">
        <v>143</v>
      </c>
      <c r="H304" s="157" t="s">
        <v>79</v>
      </c>
      <c r="I304" s="157" t="s">
        <v>257</v>
      </c>
      <c r="J304" s="157"/>
      <c r="K304" s="216">
        <f>K305</f>
        <v>0</v>
      </c>
      <c r="L304" s="216">
        <f t="shared" ref="L304:M305" si="109">L305</f>
        <v>0</v>
      </c>
      <c r="M304" s="216">
        <f t="shared" si="109"/>
        <v>0</v>
      </c>
      <c r="N304" s="213"/>
      <c r="O304" s="213"/>
      <c r="P304" s="213"/>
      <c r="Q304" s="213"/>
      <c r="R304" s="213"/>
      <c r="S304" s="213"/>
    </row>
    <row r="305" spans="2:19" s="214" customFormat="1" ht="46.8" hidden="1">
      <c r="B305" s="176" t="s">
        <v>199</v>
      </c>
      <c r="C305" s="157" t="s">
        <v>117</v>
      </c>
      <c r="D305" s="157" t="s">
        <v>90</v>
      </c>
      <c r="E305" s="157" t="s">
        <v>86</v>
      </c>
      <c r="F305" s="157" t="s">
        <v>279</v>
      </c>
      <c r="G305" s="157" t="s">
        <v>143</v>
      </c>
      <c r="H305" s="157" t="s">
        <v>79</v>
      </c>
      <c r="I305" s="157" t="s">
        <v>257</v>
      </c>
      <c r="J305" s="157" t="s">
        <v>71</v>
      </c>
      <c r="K305" s="216">
        <f>K306</f>
        <v>0</v>
      </c>
      <c r="L305" s="216">
        <f t="shared" si="109"/>
        <v>0</v>
      </c>
      <c r="M305" s="216">
        <f t="shared" si="109"/>
        <v>0</v>
      </c>
      <c r="N305" s="213"/>
      <c r="O305" s="213"/>
      <c r="P305" s="213"/>
      <c r="Q305" s="213"/>
      <c r="R305" s="213"/>
      <c r="S305" s="213"/>
    </row>
    <row r="306" spans="2:19" s="214" customFormat="1" ht="46.8" hidden="1">
      <c r="B306" s="176" t="s">
        <v>72</v>
      </c>
      <c r="C306" s="157" t="s">
        <v>117</v>
      </c>
      <c r="D306" s="157" t="s">
        <v>90</v>
      </c>
      <c r="E306" s="157" t="s">
        <v>86</v>
      </c>
      <c r="F306" s="157" t="s">
        <v>279</v>
      </c>
      <c r="G306" s="157" t="s">
        <v>143</v>
      </c>
      <c r="H306" s="157" t="s">
        <v>79</v>
      </c>
      <c r="I306" s="157" t="s">
        <v>257</v>
      </c>
      <c r="J306" s="157" t="s">
        <v>73</v>
      </c>
      <c r="K306" s="216"/>
      <c r="L306" s="216"/>
      <c r="M306" s="216"/>
      <c r="N306" s="213"/>
      <c r="O306" s="213"/>
      <c r="P306" s="213"/>
      <c r="Q306" s="213"/>
      <c r="R306" s="213"/>
      <c r="S306" s="213"/>
    </row>
    <row r="307" spans="2:19" s="214" customFormat="1" ht="46.8">
      <c r="B307" s="176" t="s">
        <v>288</v>
      </c>
      <c r="C307" s="157" t="s">
        <v>117</v>
      </c>
      <c r="D307" s="157" t="s">
        <v>90</v>
      </c>
      <c r="E307" s="157" t="s">
        <v>86</v>
      </c>
      <c r="F307" s="157" t="s">
        <v>279</v>
      </c>
      <c r="G307" s="157" t="s">
        <v>143</v>
      </c>
      <c r="H307" s="157" t="s">
        <v>125</v>
      </c>
      <c r="I307" s="157" t="s">
        <v>145</v>
      </c>
      <c r="J307" s="157"/>
      <c r="K307" s="216">
        <f>K308+K311</f>
        <v>1350</v>
      </c>
      <c r="L307" s="216">
        <f t="shared" ref="L307:M307" si="110">L308+L311</f>
        <v>1400</v>
      </c>
      <c r="M307" s="216">
        <f t="shared" si="110"/>
        <v>1450.0482999999999</v>
      </c>
      <c r="N307" s="213"/>
      <c r="O307" s="213"/>
      <c r="P307" s="213"/>
      <c r="Q307" s="213"/>
      <c r="R307" s="213"/>
      <c r="S307" s="213"/>
    </row>
    <row r="308" spans="2:19" s="214" customFormat="1" ht="46.8">
      <c r="B308" s="176" t="s">
        <v>369</v>
      </c>
      <c r="C308" s="157" t="s">
        <v>117</v>
      </c>
      <c r="D308" s="157" t="s">
        <v>90</v>
      </c>
      <c r="E308" s="157" t="s">
        <v>86</v>
      </c>
      <c r="F308" s="186" t="s">
        <v>279</v>
      </c>
      <c r="G308" s="186" t="s">
        <v>143</v>
      </c>
      <c r="H308" s="186" t="s">
        <v>125</v>
      </c>
      <c r="I308" s="186" t="s">
        <v>370</v>
      </c>
      <c r="J308" s="157"/>
      <c r="K308" s="216">
        <f>K309</f>
        <v>1350</v>
      </c>
      <c r="L308" s="216">
        <f t="shared" ref="L308:M309" si="111">L309</f>
        <v>1400</v>
      </c>
      <c r="M308" s="216">
        <f t="shared" si="111"/>
        <v>1450.0482999999999</v>
      </c>
      <c r="N308" s="213"/>
      <c r="O308" s="213"/>
      <c r="P308" s="213"/>
      <c r="Q308" s="213"/>
      <c r="R308" s="213"/>
      <c r="S308" s="213"/>
    </row>
    <row r="309" spans="2:19" s="214" customFormat="1" ht="46.8">
      <c r="B309" s="176" t="s">
        <v>199</v>
      </c>
      <c r="C309" s="157" t="s">
        <v>117</v>
      </c>
      <c r="D309" s="157" t="s">
        <v>90</v>
      </c>
      <c r="E309" s="157" t="s">
        <v>86</v>
      </c>
      <c r="F309" s="186" t="s">
        <v>279</v>
      </c>
      <c r="G309" s="186" t="s">
        <v>143</v>
      </c>
      <c r="H309" s="186" t="s">
        <v>125</v>
      </c>
      <c r="I309" s="186" t="s">
        <v>370</v>
      </c>
      <c r="J309" s="157" t="s">
        <v>71</v>
      </c>
      <c r="K309" s="216">
        <f>K310</f>
        <v>1350</v>
      </c>
      <c r="L309" s="216">
        <f t="shared" si="111"/>
        <v>1400</v>
      </c>
      <c r="M309" s="216">
        <f t="shared" si="111"/>
        <v>1450.0482999999999</v>
      </c>
      <c r="N309" s="213"/>
      <c r="O309" s="213"/>
      <c r="P309" s="213"/>
      <c r="Q309" s="213"/>
      <c r="R309" s="213"/>
      <c r="S309" s="213"/>
    </row>
    <row r="310" spans="2:19" s="214" customFormat="1" ht="46.8">
      <c r="B310" s="176" t="s">
        <v>72</v>
      </c>
      <c r="C310" s="157" t="s">
        <v>117</v>
      </c>
      <c r="D310" s="157" t="s">
        <v>90</v>
      </c>
      <c r="E310" s="157" t="s">
        <v>86</v>
      </c>
      <c r="F310" s="186" t="s">
        <v>279</v>
      </c>
      <c r="G310" s="186" t="s">
        <v>143</v>
      </c>
      <c r="H310" s="186" t="s">
        <v>125</v>
      </c>
      <c r="I310" s="186" t="s">
        <v>370</v>
      </c>
      <c r="J310" s="157" t="s">
        <v>73</v>
      </c>
      <c r="K310" s="216">
        <f>1350</f>
        <v>1350</v>
      </c>
      <c r="L310" s="248">
        <f>(1350*103.4%)+4.1</f>
        <v>1400</v>
      </c>
      <c r="M310" s="248">
        <f>(1395.9*103.7%)+2.5</f>
        <v>1450.0482999999999</v>
      </c>
      <c r="N310" s="213"/>
      <c r="O310" s="213"/>
      <c r="P310" s="213"/>
      <c r="Q310" s="213"/>
      <c r="R310" s="213"/>
      <c r="S310" s="213"/>
    </row>
    <row r="311" spans="2:19" s="214" customFormat="1" ht="15.6" hidden="1">
      <c r="B311" s="176" t="s">
        <v>256</v>
      </c>
      <c r="C311" s="157" t="s">
        <v>117</v>
      </c>
      <c r="D311" s="157" t="s">
        <v>90</v>
      </c>
      <c r="E311" s="157" t="s">
        <v>86</v>
      </c>
      <c r="F311" s="157" t="s">
        <v>279</v>
      </c>
      <c r="G311" s="157" t="s">
        <v>143</v>
      </c>
      <c r="H311" s="157" t="s">
        <v>125</v>
      </c>
      <c r="I311" s="157" t="s">
        <v>257</v>
      </c>
      <c r="J311" s="157"/>
      <c r="K311" s="216">
        <f>K312</f>
        <v>0</v>
      </c>
      <c r="L311" s="216">
        <f t="shared" ref="L311:M312" si="112">L312</f>
        <v>0</v>
      </c>
      <c r="M311" s="216">
        <f t="shared" si="112"/>
        <v>0</v>
      </c>
      <c r="N311" s="213"/>
      <c r="O311" s="213"/>
      <c r="P311" s="213"/>
      <c r="Q311" s="213"/>
      <c r="R311" s="213"/>
      <c r="S311" s="213"/>
    </row>
    <row r="312" spans="2:19" s="214" customFormat="1" ht="46.8" hidden="1">
      <c r="B312" s="176" t="s">
        <v>199</v>
      </c>
      <c r="C312" s="157" t="s">
        <v>117</v>
      </c>
      <c r="D312" s="157" t="s">
        <v>90</v>
      </c>
      <c r="E312" s="157" t="s">
        <v>86</v>
      </c>
      <c r="F312" s="157" t="s">
        <v>279</v>
      </c>
      <c r="G312" s="157" t="s">
        <v>143</v>
      </c>
      <c r="H312" s="157" t="s">
        <v>125</v>
      </c>
      <c r="I312" s="157" t="s">
        <v>257</v>
      </c>
      <c r="J312" s="157" t="s">
        <v>71</v>
      </c>
      <c r="K312" s="216">
        <f>K313</f>
        <v>0</v>
      </c>
      <c r="L312" s="216">
        <f t="shared" si="112"/>
        <v>0</v>
      </c>
      <c r="M312" s="216">
        <f t="shared" si="112"/>
        <v>0</v>
      </c>
      <c r="N312" s="213"/>
      <c r="O312" s="213"/>
      <c r="P312" s="213"/>
      <c r="Q312" s="213"/>
      <c r="R312" s="213"/>
      <c r="S312" s="213"/>
    </row>
    <row r="313" spans="2:19" s="214" customFormat="1" ht="46.8" hidden="1">
      <c r="B313" s="176" t="s">
        <v>72</v>
      </c>
      <c r="C313" s="157" t="s">
        <v>117</v>
      </c>
      <c r="D313" s="157" t="s">
        <v>90</v>
      </c>
      <c r="E313" s="157" t="s">
        <v>86</v>
      </c>
      <c r="F313" s="157" t="s">
        <v>279</v>
      </c>
      <c r="G313" s="157" t="s">
        <v>143</v>
      </c>
      <c r="H313" s="157" t="s">
        <v>125</v>
      </c>
      <c r="I313" s="157" t="s">
        <v>257</v>
      </c>
      <c r="J313" s="157" t="s">
        <v>73</v>
      </c>
      <c r="K313" s="216"/>
      <c r="L313" s="216"/>
      <c r="M313" s="216"/>
      <c r="N313" s="213"/>
      <c r="O313" s="213"/>
      <c r="P313" s="213"/>
      <c r="Q313" s="213"/>
      <c r="R313" s="213"/>
      <c r="S313" s="213"/>
    </row>
    <row r="314" spans="2:19" s="214" customFormat="1" ht="62.4" hidden="1">
      <c r="B314" s="176" t="s">
        <v>289</v>
      </c>
      <c r="C314" s="157" t="s">
        <v>117</v>
      </c>
      <c r="D314" s="157" t="s">
        <v>90</v>
      </c>
      <c r="E314" s="157" t="s">
        <v>86</v>
      </c>
      <c r="F314" s="157" t="s">
        <v>279</v>
      </c>
      <c r="G314" s="157" t="s">
        <v>143</v>
      </c>
      <c r="H314" s="157" t="s">
        <v>81</v>
      </c>
      <c r="I314" s="157" t="s">
        <v>145</v>
      </c>
      <c r="J314" s="157"/>
      <c r="K314" s="216">
        <f>K315+K318</f>
        <v>0</v>
      </c>
      <c r="L314" s="216">
        <f t="shared" ref="L314:M314" si="113">L315+L318</f>
        <v>0</v>
      </c>
      <c r="M314" s="216">
        <f t="shared" si="113"/>
        <v>0</v>
      </c>
      <c r="N314" s="213"/>
      <c r="O314" s="213"/>
      <c r="P314" s="213"/>
      <c r="Q314" s="213"/>
      <c r="R314" s="213"/>
      <c r="S314" s="213"/>
    </row>
    <row r="315" spans="2:19" s="214" customFormat="1" ht="46.8" hidden="1">
      <c r="B315" s="176" t="s">
        <v>371</v>
      </c>
      <c r="C315" s="157" t="s">
        <v>117</v>
      </c>
      <c r="D315" s="157" t="s">
        <v>90</v>
      </c>
      <c r="E315" s="157" t="s">
        <v>86</v>
      </c>
      <c r="F315" s="186" t="s">
        <v>279</v>
      </c>
      <c r="G315" s="186" t="s">
        <v>143</v>
      </c>
      <c r="H315" s="186" t="s">
        <v>81</v>
      </c>
      <c r="I315" s="186" t="s">
        <v>372</v>
      </c>
      <c r="J315" s="157"/>
      <c r="K315" s="216">
        <f>K316</f>
        <v>0</v>
      </c>
      <c r="L315" s="216">
        <f t="shared" ref="L315:M316" si="114">L316</f>
        <v>0</v>
      </c>
      <c r="M315" s="216">
        <f t="shared" si="114"/>
        <v>0</v>
      </c>
      <c r="N315" s="213"/>
      <c r="O315" s="213"/>
      <c r="P315" s="213"/>
      <c r="Q315" s="213"/>
      <c r="R315" s="213"/>
      <c r="S315" s="213"/>
    </row>
    <row r="316" spans="2:19" s="214" customFormat="1" ht="46.8" hidden="1">
      <c r="B316" s="176" t="s">
        <v>199</v>
      </c>
      <c r="C316" s="157" t="s">
        <v>117</v>
      </c>
      <c r="D316" s="157" t="s">
        <v>90</v>
      </c>
      <c r="E316" s="157" t="s">
        <v>86</v>
      </c>
      <c r="F316" s="186" t="s">
        <v>279</v>
      </c>
      <c r="G316" s="186" t="s">
        <v>143</v>
      </c>
      <c r="H316" s="186" t="s">
        <v>81</v>
      </c>
      <c r="I316" s="186" t="s">
        <v>372</v>
      </c>
      <c r="J316" s="157" t="s">
        <v>71</v>
      </c>
      <c r="K316" s="216">
        <f>K317</f>
        <v>0</v>
      </c>
      <c r="L316" s="216">
        <f t="shared" si="114"/>
        <v>0</v>
      </c>
      <c r="M316" s="216">
        <f t="shared" si="114"/>
        <v>0</v>
      </c>
      <c r="N316" s="213"/>
      <c r="O316" s="213"/>
      <c r="P316" s="213"/>
      <c r="Q316" s="213"/>
      <c r="R316" s="213"/>
      <c r="S316" s="213"/>
    </row>
    <row r="317" spans="2:19" s="214" customFormat="1" ht="46.8" hidden="1">
      <c r="B317" s="176" t="s">
        <v>72</v>
      </c>
      <c r="C317" s="157" t="s">
        <v>117</v>
      </c>
      <c r="D317" s="157" t="s">
        <v>90</v>
      </c>
      <c r="E317" s="157" t="s">
        <v>86</v>
      </c>
      <c r="F317" s="186" t="s">
        <v>279</v>
      </c>
      <c r="G317" s="186" t="s">
        <v>143</v>
      </c>
      <c r="H317" s="186" t="s">
        <v>81</v>
      </c>
      <c r="I317" s="186" t="s">
        <v>372</v>
      </c>
      <c r="J317" s="157" t="s">
        <v>73</v>
      </c>
      <c r="K317" s="216"/>
      <c r="L317" s="216"/>
      <c r="M317" s="216"/>
      <c r="N317" s="213"/>
      <c r="O317" s="213"/>
      <c r="P317" s="213"/>
      <c r="Q317" s="213"/>
      <c r="R317" s="213"/>
      <c r="S317" s="213"/>
    </row>
    <row r="318" spans="2:19" s="214" customFormat="1" ht="15.6" hidden="1">
      <c r="B318" s="176" t="s">
        <v>256</v>
      </c>
      <c r="C318" s="157" t="s">
        <v>117</v>
      </c>
      <c r="D318" s="157" t="s">
        <v>90</v>
      </c>
      <c r="E318" s="157" t="s">
        <v>86</v>
      </c>
      <c r="F318" s="157" t="s">
        <v>279</v>
      </c>
      <c r="G318" s="157" t="s">
        <v>143</v>
      </c>
      <c r="H318" s="157" t="s">
        <v>81</v>
      </c>
      <c r="I318" s="157" t="s">
        <v>257</v>
      </c>
      <c r="J318" s="157"/>
      <c r="K318" s="216">
        <f>K319</f>
        <v>0</v>
      </c>
      <c r="L318" s="216">
        <f t="shared" ref="L318:M319" si="115">L319</f>
        <v>0</v>
      </c>
      <c r="M318" s="216">
        <f t="shared" si="115"/>
        <v>0</v>
      </c>
      <c r="N318" s="213"/>
      <c r="O318" s="213"/>
      <c r="P318" s="213"/>
      <c r="Q318" s="213"/>
      <c r="R318" s="213"/>
      <c r="S318" s="213"/>
    </row>
    <row r="319" spans="2:19" s="214" customFormat="1" ht="46.8" hidden="1">
      <c r="B319" s="176" t="s">
        <v>199</v>
      </c>
      <c r="C319" s="157" t="s">
        <v>117</v>
      </c>
      <c r="D319" s="157" t="s">
        <v>90</v>
      </c>
      <c r="E319" s="157" t="s">
        <v>86</v>
      </c>
      <c r="F319" s="157" t="s">
        <v>279</v>
      </c>
      <c r="G319" s="157" t="s">
        <v>143</v>
      </c>
      <c r="H319" s="157" t="s">
        <v>81</v>
      </c>
      <c r="I319" s="157" t="s">
        <v>257</v>
      </c>
      <c r="J319" s="157" t="s">
        <v>71</v>
      </c>
      <c r="K319" s="216">
        <f>K320</f>
        <v>0</v>
      </c>
      <c r="L319" s="216">
        <f t="shared" si="115"/>
        <v>0</v>
      </c>
      <c r="M319" s="216">
        <f t="shared" si="115"/>
        <v>0</v>
      </c>
      <c r="N319" s="213"/>
      <c r="O319" s="213"/>
      <c r="P319" s="213"/>
      <c r="Q319" s="213"/>
      <c r="R319" s="213"/>
      <c r="S319" s="213"/>
    </row>
    <row r="320" spans="2:19" s="214" customFormat="1" ht="46.8" hidden="1">
      <c r="B320" s="176" t="s">
        <v>72</v>
      </c>
      <c r="C320" s="157" t="s">
        <v>117</v>
      </c>
      <c r="D320" s="157" t="s">
        <v>90</v>
      </c>
      <c r="E320" s="157" t="s">
        <v>86</v>
      </c>
      <c r="F320" s="157" t="s">
        <v>279</v>
      </c>
      <c r="G320" s="157" t="s">
        <v>143</v>
      </c>
      <c r="H320" s="157" t="s">
        <v>81</v>
      </c>
      <c r="I320" s="157" t="s">
        <v>257</v>
      </c>
      <c r="J320" s="157" t="s">
        <v>73</v>
      </c>
      <c r="K320" s="216"/>
      <c r="L320" s="216"/>
      <c r="M320" s="216"/>
      <c r="N320" s="213"/>
      <c r="O320" s="213"/>
      <c r="P320" s="213"/>
      <c r="Q320" s="213"/>
      <c r="R320" s="213"/>
      <c r="S320" s="213"/>
    </row>
    <row r="321" spans="2:19" s="214" customFormat="1" ht="31.2">
      <c r="B321" s="176" t="s">
        <v>290</v>
      </c>
      <c r="C321" s="157" t="s">
        <v>117</v>
      </c>
      <c r="D321" s="157" t="s">
        <v>90</v>
      </c>
      <c r="E321" s="157" t="s">
        <v>86</v>
      </c>
      <c r="F321" s="157" t="s">
        <v>279</v>
      </c>
      <c r="G321" s="157" t="s">
        <v>143</v>
      </c>
      <c r="H321" s="157" t="s">
        <v>120</v>
      </c>
      <c r="I321" s="157" t="s">
        <v>145</v>
      </c>
      <c r="J321" s="157"/>
      <c r="K321" s="216">
        <f>K322+K325</f>
        <v>15</v>
      </c>
      <c r="L321" s="216">
        <f t="shared" ref="L321:M321" si="116">L322+L325</f>
        <v>15</v>
      </c>
      <c r="M321" s="216">
        <f t="shared" si="116"/>
        <v>15</v>
      </c>
      <c r="N321" s="213"/>
      <c r="O321" s="213"/>
      <c r="P321" s="213"/>
      <c r="Q321" s="213"/>
      <c r="R321" s="213"/>
      <c r="S321" s="213"/>
    </row>
    <row r="322" spans="2:19" s="214" customFormat="1" ht="31.2">
      <c r="B322" s="176" t="s">
        <v>373</v>
      </c>
      <c r="C322" s="157" t="s">
        <v>117</v>
      </c>
      <c r="D322" s="157" t="s">
        <v>90</v>
      </c>
      <c r="E322" s="157" t="s">
        <v>86</v>
      </c>
      <c r="F322" s="186" t="s">
        <v>279</v>
      </c>
      <c r="G322" s="186" t="s">
        <v>143</v>
      </c>
      <c r="H322" s="186" t="s">
        <v>120</v>
      </c>
      <c r="I322" s="186" t="s">
        <v>374</v>
      </c>
      <c r="J322" s="157"/>
      <c r="K322" s="216">
        <f>K323</f>
        <v>15</v>
      </c>
      <c r="L322" s="216">
        <f t="shared" ref="L322:M323" si="117">L323</f>
        <v>15</v>
      </c>
      <c r="M322" s="216">
        <f t="shared" si="117"/>
        <v>15</v>
      </c>
      <c r="N322" s="213"/>
      <c r="O322" s="213"/>
      <c r="P322" s="213"/>
      <c r="Q322" s="213"/>
      <c r="R322" s="213"/>
      <c r="S322" s="213"/>
    </row>
    <row r="323" spans="2:19" s="214" customFormat="1" ht="46.8">
      <c r="B323" s="176" t="s">
        <v>199</v>
      </c>
      <c r="C323" s="157" t="s">
        <v>117</v>
      </c>
      <c r="D323" s="157" t="s">
        <v>90</v>
      </c>
      <c r="E323" s="157" t="s">
        <v>86</v>
      </c>
      <c r="F323" s="186" t="s">
        <v>279</v>
      </c>
      <c r="G323" s="186" t="s">
        <v>143</v>
      </c>
      <c r="H323" s="186" t="s">
        <v>120</v>
      </c>
      <c r="I323" s="186" t="s">
        <v>374</v>
      </c>
      <c r="J323" s="157" t="s">
        <v>71</v>
      </c>
      <c r="K323" s="216">
        <f>K324</f>
        <v>15</v>
      </c>
      <c r="L323" s="216">
        <f t="shared" si="117"/>
        <v>15</v>
      </c>
      <c r="M323" s="216">
        <f t="shared" si="117"/>
        <v>15</v>
      </c>
      <c r="N323" s="213"/>
      <c r="O323" s="213"/>
      <c r="P323" s="213"/>
      <c r="Q323" s="213"/>
      <c r="R323" s="213"/>
      <c r="S323" s="213"/>
    </row>
    <row r="324" spans="2:19" s="214" customFormat="1" ht="46.8">
      <c r="B324" s="176" t="s">
        <v>72</v>
      </c>
      <c r="C324" s="157" t="s">
        <v>117</v>
      </c>
      <c r="D324" s="157" t="s">
        <v>90</v>
      </c>
      <c r="E324" s="157" t="s">
        <v>86</v>
      </c>
      <c r="F324" s="186" t="s">
        <v>279</v>
      </c>
      <c r="G324" s="186" t="s">
        <v>143</v>
      </c>
      <c r="H324" s="186" t="s">
        <v>120</v>
      </c>
      <c r="I324" s="186" t="s">
        <v>374</v>
      </c>
      <c r="J324" s="157" t="s">
        <v>73</v>
      </c>
      <c r="K324" s="216">
        <f>15</f>
        <v>15</v>
      </c>
      <c r="L324" s="216">
        <f>15</f>
        <v>15</v>
      </c>
      <c r="M324" s="216">
        <f>15</f>
        <v>15</v>
      </c>
      <c r="N324" s="213"/>
      <c r="O324" s="213"/>
      <c r="P324" s="213"/>
      <c r="Q324" s="213"/>
      <c r="R324" s="213"/>
      <c r="S324" s="213"/>
    </row>
    <row r="325" spans="2:19" s="214" customFormat="1" ht="15.6" hidden="1">
      <c r="B325" s="176" t="s">
        <v>256</v>
      </c>
      <c r="C325" s="157" t="s">
        <v>117</v>
      </c>
      <c r="D325" s="157" t="s">
        <v>90</v>
      </c>
      <c r="E325" s="157" t="s">
        <v>86</v>
      </c>
      <c r="F325" s="157" t="s">
        <v>279</v>
      </c>
      <c r="G325" s="157" t="s">
        <v>143</v>
      </c>
      <c r="H325" s="157" t="s">
        <v>120</v>
      </c>
      <c r="I325" s="157" t="s">
        <v>257</v>
      </c>
      <c r="J325" s="157"/>
      <c r="K325" s="216">
        <f>K326</f>
        <v>0</v>
      </c>
      <c r="L325" s="216">
        <f t="shared" ref="L325:M326" si="118">L326</f>
        <v>0</v>
      </c>
      <c r="M325" s="216">
        <f t="shared" si="118"/>
        <v>0</v>
      </c>
      <c r="N325" s="213"/>
      <c r="O325" s="213"/>
      <c r="P325" s="213"/>
      <c r="Q325" s="213"/>
      <c r="R325" s="213"/>
      <c r="S325" s="213"/>
    </row>
    <row r="326" spans="2:19" s="214" customFormat="1" ht="46.8" hidden="1">
      <c r="B326" s="176" t="s">
        <v>199</v>
      </c>
      <c r="C326" s="157" t="s">
        <v>117</v>
      </c>
      <c r="D326" s="157" t="s">
        <v>90</v>
      </c>
      <c r="E326" s="157" t="s">
        <v>86</v>
      </c>
      <c r="F326" s="157" t="s">
        <v>279</v>
      </c>
      <c r="G326" s="157" t="s">
        <v>143</v>
      </c>
      <c r="H326" s="157" t="s">
        <v>120</v>
      </c>
      <c r="I326" s="157" t="s">
        <v>257</v>
      </c>
      <c r="J326" s="157" t="s">
        <v>71</v>
      </c>
      <c r="K326" s="216">
        <f>K327</f>
        <v>0</v>
      </c>
      <c r="L326" s="216">
        <f t="shared" si="118"/>
        <v>0</v>
      </c>
      <c r="M326" s="216">
        <f t="shared" si="118"/>
        <v>0</v>
      </c>
      <c r="N326" s="213"/>
      <c r="O326" s="213"/>
      <c r="P326" s="213"/>
      <c r="Q326" s="213"/>
      <c r="R326" s="213"/>
      <c r="S326" s="213"/>
    </row>
    <row r="327" spans="2:19" s="214" customFormat="1" ht="46.8" hidden="1">
      <c r="B327" s="176" t="s">
        <v>72</v>
      </c>
      <c r="C327" s="157" t="s">
        <v>117</v>
      </c>
      <c r="D327" s="157" t="s">
        <v>90</v>
      </c>
      <c r="E327" s="157" t="s">
        <v>86</v>
      </c>
      <c r="F327" s="157" t="s">
        <v>279</v>
      </c>
      <c r="G327" s="157" t="s">
        <v>143</v>
      </c>
      <c r="H327" s="157" t="s">
        <v>120</v>
      </c>
      <c r="I327" s="157" t="s">
        <v>257</v>
      </c>
      <c r="J327" s="157" t="s">
        <v>73</v>
      </c>
      <c r="K327" s="216"/>
      <c r="L327" s="216"/>
      <c r="M327" s="216"/>
      <c r="N327" s="213"/>
      <c r="O327" s="213"/>
      <c r="P327" s="213"/>
      <c r="Q327" s="213"/>
      <c r="R327" s="213"/>
      <c r="S327" s="213"/>
    </row>
    <row r="328" spans="2:19" s="214" customFormat="1" ht="31.2">
      <c r="B328" s="176" t="s">
        <v>291</v>
      </c>
      <c r="C328" s="157" t="s">
        <v>117</v>
      </c>
      <c r="D328" s="157" t="s">
        <v>90</v>
      </c>
      <c r="E328" s="157" t="s">
        <v>86</v>
      </c>
      <c r="F328" s="157" t="s">
        <v>279</v>
      </c>
      <c r="G328" s="157" t="s">
        <v>143</v>
      </c>
      <c r="H328" s="157" t="s">
        <v>292</v>
      </c>
      <c r="I328" s="157" t="s">
        <v>145</v>
      </c>
      <c r="J328" s="157"/>
      <c r="K328" s="216">
        <f>K329+K332</f>
        <v>100</v>
      </c>
      <c r="L328" s="216">
        <f t="shared" ref="L328:M328" si="119">L329+L332</f>
        <v>100</v>
      </c>
      <c r="M328" s="216">
        <f t="shared" si="119"/>
        <v>100</v>
      </c>
      <c r="N328" s="213"/>
      <c r="O328" s="213"/>
      <c r="P328" s="213"/>
      <c r="Q328" s="213"/>
      <c r="R328" s="213"/>
      <c r="S328" s="213"/>
    </row>
    <row r="329" spans="2:19" s="214" customFormat="1" ht="15.6">
      <c r="B329" s="176" t="s">
        <v>375</v>
      </c>
      <c r="C329" s="157" t="s">
        <v>117</v>
      </c>
      <c r="D329" s="157" t="s">
        <v>90</v>
      </c>
      <c r="E329" s="157" t="s">
        <v>86</v>
      </c>
      <c r="F329" s="186" t="s">
        <v>279</v>
      </c>
      <c r="G329" s="186" t="s">
        <v>143</v>
      </c>
      <c r="H329" s="186" t="s">
        <v>292</v>
      </c>
      <c r="I329" s="186" t="s">
        <v>376</v>
      </c>
      <c r="J329" s="157"/>
      <c r="K329" s="216">
        <f>K330</f>
        <v>100</v>
      </c>
      <c r="L329" s="216">
        <f t="shared" ref="L329:M330" si="120">L330</f>
        <v>100</v>
      </c>
      <c r="M329" s="216">
        <f t="shared" si="120"/>
        <v>100</v>
      </c>
      <c r="N329" s="213"/>
      <c r="O329" s="213"/>
      <c r="P329" s="213"/>
      <c r="Q329" s="213"/>
      <c r="R329" s="213"/>
      <c r="S329" s="213"/>
    </row>
    <row r="330" spans="2:19" s="214" customFormat="1" ht="46.8">
      <c r="B330" s="176" t="s">
        <v>199</v>
      </c>
      <c r="C330" s="157" t="s">
        <v>117</v>
      </c>
      <c r="D330" s="157" t="s">
        <v>90</v>
      </c>
      <c r="E330" s="157" t="s">
        <v>86</v>
      </c>
      <c r="F330" s="186" t="s">
        <v>279</v>
      </c>
      <c r="G330" s="186" t="s">
        <v>143</v>
      </c>
      <c r="H330" s="186" t="s">
        <v>292</v>
      </c>
      <c r="I330" s="186" t="s">
        <v>376</v>
      </c>
      <c r="J330" s="157" t="s">
        <v>71</v>
      </c>
      <c r="K330" s="216">
        <f>K331</f>
        <v>100</v>
      </c>
      <c r="L330" s="216">
        <f t="shared" si="120"/>
        <v>100</v>
      </c>
      <c r="M330" s="216">
        <f t="shared" si="120"/>
        <v>100</v>
      </c>
      <c r="N330" s="213"/>
      <c r="O330" s="213"/>
      <c r="P330" s="213"/>
      <c r="Q330" s="213"/>
      <c r="R330" s="213"/>
      <c r="S330" s="213"/>
    </row>
    <row r="331" spans="2:19" s="214" customFormat="1" ht="46.8">
      <c r="B331" s="176" t="s">
        <v>72</v>
      </c>
      <c r="C331" s="157" t="s">
        <v>117</v>
      </c>
      <c r="D331" s="157" t="s">
        <v>90</v>
      </c>
      <c r="E331" s="157" t="s">
        <v>86</v>
      </c>
      <c r="F331" s="186" t="s">
        <v>279</v>
      </c>
      <c r="G331" s="186" t="s">
        <v>143</v>
      </c>
      <c r="H331" s="186" t="s">
        <v>292</v>
      </c>
      <c r="I331" s="186" t="s">
        <v>376</v>
      </c>
      <c r="J331" s="157" t="s">
        <v>73</v>
      </c>
      <c r="K331" s="216">
        <f>100</f>
        <v>100</v>
      </c>
      <c r="L331" s="216">
        <f>100</f>
        <v>100</v>
      </c>
      <c r="M331" s="216">
        <f>100</f>
        <v>100</v>
      </c>
      <c r="N331" s="213"/>
      <c r="O331" s="213"/>
      <c r="P331" s="213"/>
      <c r="Q331" s="213"/>
      <c r="R331" s="213"/>
      <c r="S331" s="213"/>
    </row>
    <row r="332" spans="2:19" s="214" customFormat="1" ht="15.6" hidden="1">
      <c r="B332" s="176" t="s">
        <v>256</v>
      </c>
      <c r="C332" s="157" t="s">
        <v>117</v>
      </c>
      <c r="D332" s="157" t="s">
        <v>90</v>
      </c>
      <c r="E332" s="157" t="s">
        <v>86</v>
      </c>
      <c r="F332" s="157" t="s">
        <v>279</v>
      </c>
      <c r="G332" s="157" t="s">
        <v>143</v>
      </c>
      <c r="H332" s="157" t="s">
        <v>292</v>
      </c>
      <c r="I332" s="157" t="s">
        <v>257</v>
      </c>
      <c r="J332" s="157"/>
      <c r="K332" s="216">
        <f>K333</f>
        <v>0</v>
      </c>
      <c r="L332" s="216">
        <f t="shared" ref="L332:M333" si="121">L333</f>
        <v>0</v>
      </c>
      <c r="M332" s="216">
        <f t="shared" si="121"/>
        <v>0</v>
      </c>
      <c r="N332" s="213"/>
      <c r="O332" s="213"/>
      <c r="P332" s="213"/>
      <c r="Q332" s="213"/>
      <c r="R332" s="213"/>
      <c r="S332" s="213"/>
    </row>
    <row r="333" spans="2:19" s="214" customFormat="1" ht="46.8" hidden="1">
      <c r="B333" s="176" t="s">
        <v>199</v>
      </c>
      <c r="C333" s="157" t="s">
        <v>117</v>
      </c>
      <c r="D333" s="157" t="s">
        <v>90</v>
      </c>
      <c r="E333" s="157" t="s">
        <v>86</v>
      </c>
      <c r="F333" s="157" t="s">
        <v>279</v>
      </c>
      <c r="G333" s="157" t="s">
        <v>143</v>
      </c>
      <c r="H333" s="157" t="s">
        <v>292</v>
      </c>
      <c r="I333" s="157" t="s">
        <v>257</v>
      </c>
      <c r="J333" s="157" t="s">
        <v>71</v>
      </c>
      <c r="K333" s="216">
        <f>K334</f>
        <v>0</v>
      </c>
      <c r="L333" s="216">
        <f t="shared" si="121"/>
        <v>0</v>
      </c>
      <c r="M333" s="216">
        <f t="shared" si="121"/>
        <v>0</v>
      </c>
      <c r="N333" s="213"/>
      <c r="O333" s="213"/>
      <c r="P333" s="213"/>
      <c r="Q333" s="213"/>
      <c r="R333" s="213"/>
      <c r="S333" s="213"/>
    </row>
    <row r="334" spans="2:19" s="214" customFormat="1" ht="46.8" hidden="1">
      <c r="B334" s="176" t="s">
        <v>72</v>
      </c>
      <c r="C334" s="157" t="s">
        <v>117</v>
      </c>
      <c r="D334" s="157" t="s">
        <v>90</v>
      </c>
      <c r="E334" s="157" t="s">
        <v>86</v>
      </c>
      <c r="F334" s="157" t="s">
        <v>279</v>
      </c>
      <c r="G334" s="157" t="s">
        <v>143</v>
      </c>
      <c r="H334" s="157" t="s">
        <v>292</v>
      </c>
      <c r="I334" s="157" t="s">
        <v>257</v>
      </c>
      <c r="J334" s="157" t="s">
        <v>73</v>
      </c>
      <c r="K334" s="216"/>
      <c r="L334" s="216"/>
      <c r="M334" s="216"/>
      <c r="N334" s="213"/>
      <c r="O334" s="213"/>
      <c r="P334" s="213"/>
      <c r="Q334" s="213"/>
      <c r="R334" s="213"/>
      <c r="S334" s="213"/>
    </row>
    <row r="335" spans="2:19" s="214" customFormat="1" ht="46.8" hidden="1">
      <c r="B335" s="176" t="s">
        <v>293</v>
      </c>
      <c r="C335" s="157" t="s">
        <v>117</v>
      </c>
      <c r="D335" s="157" t="s">
        <v>90</v>
      </c>
      <c r="E335" s="157" t="s">
        <v>86</v>
      </c>
      <c r="F335" s="157" t="s">
        <v>279</v>
      </c>
      <c r="G335" s="157" t="s">
        <v>143</v>
      </c>
      <c r="H335" s="157" t="s">
        <v>294</v>
      </c>
      <c r="I335" s="157" t="s">
        <v>145</v>
      </c>
      <c r="J335" s="157"/>
      <c r="K335" s="216">
        <f>K336+K339</f>
        <v>0</v>
      </c>
      <c r="L335" s="216">
        <f t="shared" ref="L335:M335" si="122">L336+L339</f>
        <v>0</v>
      </c>
      <c r="M335" s="216">
        <f t="shared" si="122"/>
        <v>0</v>
      </c>
      <c r="N335" s="213"/>
      <c r="O335" s="213"/>
      <c r="P335" s="213"/>
      <c r="Q335" s="213"/>
      <c r="R335" s="213"/>
      <c r="S335" s="213"/>
    </row>
    <row r="336" spans="2:19" s="214" customFormat="1" ht="31.2" hidden="1">
      <c r="B336" s="176" t="s">
        <v>377</v>
      </c>
      <c r="C336" s="157" t="s">
        <v>117</v>
      </c>
      <c r="D336" s="157" t="s">
        <v>90</v>
      </c>
      <c r="E336" s="157" t="s">
        <v>86</v>
      </c>
      <c r="F336" s="186" t="s">
        <v>279</v>
      </c>
      <c r="G336" s="186" t="s">
        <v>143</v>
      </c>
      <c r="H336" s="186" t="s">
        <v>294</v>
      </c>
      <c r="I336" s="186" t="s">
        <v>378</v>
      </c>
      <c r="J336" s="157"/>
      <c r="K336" s="216">
        <f>K337</f>
        <v>0</v>
      </c>
      <c r="L336" s="216">
        <f t="shared" ref="L336:M337" si="123">L337</f>
        <v>0</v>
      </c>
      <c r="M336" s="216">
        <f t="shared" si="123"/>
        <v>0</v>
      </c>
      <c r="N336" s="213"/>
      <c r="O336" s="213"/>
      <c r="P336" s="213"/>
      <c r="Q336" s="213"/>
      <c r="R336" s="213"/>
      <c r="S336" s="213"/>
    </row>
    <row r="337" spans="2:19" s="214" customFormat="1" ht="46.8" hidden="1">
      <c r="B337" s="176" t="s">
        <v>199</v>
      </c>
      <c r="C337" s="157" t="s">
        <v>117</v>
      </c>
      <c r="D337" s="157" t="s">
        <v>90</v>
      </c>
      <c r="E337" s="157" t="s">
        <v>86</v>
      </c>
      <c r="F337" s="186" t="s">
        <v>279</v>
      </c>
      <c r="G337" s="186" t="s">
        <v>143</v>
      </c>
      <c r="H337" s="186" t="s">
        <v>294</v>
      </c>
      <c r="I337" s="186" t="s">
        <v>378</v>
      </c>
      <c r="J337" s="157" t="s">
        <v>71</v>
      </c>
      <c r="K337" s="216">
        <f>K338</f>
        <v>0</v>
      </c>
      <c r="L337" s="216">
        <f t="shared" si="123"/>
        <v>0</v>
      </c>
      <c r="M337" s="216">
        <f t="shared" si="123"/>
        <v>0</v>
      </c>
      <c r="N337" s="213"/>
      <c r="O337" s="213"/>
      <c r="P337" s="213"/>
      <c r="Q337" s="213"/>
      <c r="R337" s="213"/>
      <c r="S337" s="213"/>
    </row>
    <row r="338" spans="2:19" s="214" customFormat="1" ht="46.8" hidden="1">
      <c r="B338" s="176" t="s">
        <v>72</v>
      </c>
      <c r="C338" s="157" t="s">
        <v>117</v>
      </c>
      <c r="D338" s="157" t="s">
        <v>90</v>
      </c>
      <c r="E338" s="157" t="s">
        <v>86</v>
      </c>
      <c r="F338" s="186" t="s">
        <v>279</v>
      </c>
      <c r="G338" s="186" t="s">
        <v>143</v>
      </c>
      <c r="H338" s="186" t="s">
        <v>294</v>
      </c>
      <c r="I338" s="186" t="s">
        <v>378</v>
      </c>
      <c r="J338" s="157" t="s">
        <v>73</v>
      </c>
      <c r="K338" s="216"/>
      <c r="L338" s="216"/>
      <c r="M338" s="216"/>
      <c r="N338" s="213"/>
      <c r="O338" s="213"/>
      <c r="P338" s="213"/>
      <c r="Q338" s="213"/>
      <c r="R338" s="213"/>
      <c r="S338" s="213"/>
    </row>
    <row r="339" spans="2:19" s="214" customFormat="1" ht="15.6" hidden="1">
      <c r="B339" s="176" t="s">
        <v>256</v>
      </c>
      <c r="C339" s="157" t="s">
        <v>117</v>
      </c>
      <c r="D339" s="157" t="s">
        <v>90</v>
      </c>
      <c r="E339" s="157" t="s">
        <v>86</v>
      </c>
      <c r="F339" s="157" t="s">
        <v>279</v>
      </c>
      <c r="G339" s="157" t="s">
        <v>143</v>
      </c>
      <c r="H339" s="157" t="s">
        <v>294</v>
      </c>
      <c r="I339" s="157" t="s">
        <v>257</v>
      </c>
      <c r="J339" s="157"/>
      <c r="K339" s="216">
        <f>K340</f>
        <v>0</v>
      </c>
      <c r="L339" s="216">
        <f t="shared" ref="L339:M340" si="124">L340</f>
        <v>0</v>
      </c>
      <c r="M339" s="216">
        <f t="shared" si="124"/>
        <v>0</v>
      </c>
      <c r="N339" s="213"/>
      <c r="O339" s="213"/>
      <c r="P339" s="213"/>
      <c r="Q339" s="213"/>
      <c r="R339" s="213"/>
      <c r="S339" s="213"/>
    </row>
    <row r="340" spans="2:19" s="214" customFormat="1" ht="46.8" hidden="1">
      <c r="B340" s="176" t="s">
        <v>199</v>
      </c>
      <c r="C340" s="157" t="s">
        <v>117</v>
      </c>
      <c r="D340" s="157" t="s">
        <v>90</v>
      </c>
      <c r="E340" s="157" t="s">
        <v>86</v>
      </c>
      <c r="F340" s="157" t="s">
        <v>279</v>
      </c>
      <c r="G340" s="157" t="s">
        <v>143</v>
      </c>
      <c r="H340" s="157" t="s">
        <v>294</v>
      </c>
      <c r="I340" s="157" t="s">
        <v>257</v>
      </c>
      <c r="J340" s="157" t="s">
        <v>71</v>
      </c>
      <c r="K340" s="216">
        <f>K341</f>
        <v>0</v>
      </c>
      <c r="L340" s="216">
        <f t="shared" si="124"/>
        <v>0</v>
      </c>
      <c r="M340" s="216">
        <f t="shared" si="124"/>
        <v>0</v>
      </c>
      <c r="N340" s="213"/>
      <c r="O340" s="213"/>
      <c r="P340" s="213"/>
      <c r="Q340" s="213"/>
      <c r="R340" s="213"/>
      <c r="S340" s="213"/>
    </row>
    <row r="341" spans="2:19" s="214" customFormat="1" ht="46.8" hidden="1">
      <c r="B341" s="176" t="s">
        <v>72</v>
      </c>
      <c r="C341" s="157" t="s">
        <v>117</v>
      </c>
      <c r="D341" s="157" t="s">
        <v>90</v>
      </c>
      <c r="E341" s="157" t="s">
        <v>86</v>
      </c>
      <c r="F341" s="157" t="s">
        <v>279</v>
      </c>
      <c r="G341" s="157" t="s">
        <v>143</v>
      </c>
      <c r="H341" s="157" t="s">
        <v>294</v>
      </c>
      <c r="I341" s="157" t="s">
        <v>257</v>
      </c>
      <c r="J341" s="157" t="s">
        <v>73</v>
      </c>
      <c r="K341" s="216"/>
      <c r="L341" s="216"/>
      <c r="M341" s="216"/>
      <c r="N341" s="213"/>
      <c r="O341" s="213"/>
      <c r="P341" s="213"/>
      <c r="Q341" s="213"/>
      <c r="R341" s="213"/>
      <c r="S341" s="213"/>
    </row>
    <row r="342" spans="2:19" s="214" customFormat="1" ht="31.2">
      <c r="B342" s="176" t="s">
        <v>295</v>
      </c>
      <c r="C342" s="157" t="s">
        <v>117</v>
      </c>
      <c r="D342" s="157" t="s">
        <v>90</v>
      </c>
      <c r="E342" s="157" t="s">
        <v>86</v>
      </c>
      <c r="F342" s="157" t="s">
        <v>279</v>
      </c>
      <c r="G342" s="157" t="s">
        <v>143</v>
      </c>
      <c r="H342" s="157" t="s">
        <v>296</v>
      </c>
      <c r="I342" s="157" t="s">
        <v>145</v>
      </c>
      <c r="J342" s="157"/>
      <c r="K342" s="216">
        <f>K343+K346+K349+K352+K355</f>
        <v>500</v>
      </c>
      <c r="L342" s="216">
        <f t="shared" ref="L342:M342" si="125">L343+L346+L349+L352+L355</f>
        <v>100</v>
      </c>
      <c r="M342" s="216">
        <f t="shared" si="125"/>
        <v>50</v>
      </c>
      <c r="N342" s="213"/>
      <c r="O342" s="213"/>
      <c r="P342" s="213"/>
      <c r="Q342" s="213"/>
      <c r="R342" s="213"/>
      <c r="S342" s="213"/>
    </row>
    <row r="343" spans="2:19" s="214" customFormat="1" ht="31.2" hidden="1">
      <c r="B343" s="176" t="s">
        <v>379</v>
      </c>
      <c r="C343" s="157" t="s">
        <v>117</v>
      </c>
      <c r="D343" s="157" t="s">
        <v>90</v>
      </c>
      <c r="E343" s="157" t="s">
        <v>86</v>
      </c>
      <c r="F343" s="186" t="s">
        <v>279</v>
      </c>
      <c r="G343" s="186" t="s">
        <v>143</v>
      </c>
      <c r="H343" s="186" t="s">
        <v>296</v>
      </c>
      <c r="I343" s="186" t="s">
        <v>380</v>
      </c>
      <c r="J343" s="157"/>
      <c r="K343" s="216">
        <f>K344</f>
        <v>0</v>
      </c>
      <c r="L343" s="216">
        <f t="shared" ref="L343:M344" si="126">L344</f>
        <v>0</v>
      </c>
      <c r="M343" s="216">
        <f t="shared" si="126"/>
        <v>0</v>
      </c>
      <c r="N343" s="213"/>
      <c r="O343" s="213"/>
      <c r="P343" s="213"/>
      <c r="Q343" s="213"/>
      <c r="R343" s="213"/>
      <c r="S343" s="213"/>
    </row>
    <row r="344" spans="2:19" s="214" customFormat="1" ht="46.8" hidden="1">
      <c r="B344" s="176" t="s">
        <v>199</v>
      </c>
      <c r="C344" s="157" t="s">
        <v>117</v>
      </c>
      <c r="D344" s="157" t="s">
        <v>90</v>
      </c>
      <c r="E344" s="157" t="s">
        <v>86</v>
      </c>
      <c r="F344" s="186" t="s">
        <v>279</v>
      </c>
      <c r="G344" s="186" t="s">
        <v>143</v>
      </c>
      <c r="H344" s="186" t="s">
        <v>296</v>
      </c>
      <c r="I344" s="186" t="s">
        <v>380</v>
      </c>
      <c r="J344" s="157" t="s">
        <v>71</v>
      </c>
      <c r="K344" s="216">
        <f>K345</f>
        <v>0</v>
      </c>
      <c r="L344" s="216">
        <f t="shared" si="126"/>
        <v>0</v>
      </c>
      <c r="M344" s="216">
        <f t="shared" si="126"/>
        <v>0</v>
      </c>
      <c r="N344" s="213"/>
      <c r="O344" s="213"/>
      <c r="P344" s="213"/>
      <c r="Q344" s="213"/>
      <c r="R344" s="213"/>
      <c r="S344" s="213"/>
    </row>
    <row r="345" spans="2:19" s="214" customFormat="1" ht="46.8" hidden="1">
      <c r="B345" s="176" t="s">
        <v>72</v>
      </c>
      <c r="C345" s="157" t="s">
        <v>117</v>
      </c>
      <c r="D345" s="157" t="s">
        <v>90</v>
      </c>
      <c r="E345" s="157" t="s">
        <v>86</v>
      </c>
      <c r="F345" s="186" t="s">
        <v>279</v>
      </c>
      <c r="G345" s="186" t="s">
        <v>143</v>
      </c>
      <c r="H345" s="186" t="s">
        <v>296</v>
      </c>
      <c r="I345" s="186" t="s">
        <v>380</v>
      </c>
      <c r="J345" s="157" t="s">
        <v>73</v>
      </c>
      <c r="K345" s="216"/>
      <c r="L345" s="216"/>
      <c r="M345" s="216"/>
      <c r="N345" s="213"/>
      <c r="O345" s="213"/>
      <c r="P345" s="213"/>
      <c r="Q345" s="213"/>
      <c r="R345" s="213"/>
      <c r="S345" s="213"/>
    </row>
    <row r="346" spans="2:19" s="214" customFormat="1" ht="31.2" hidden="1">
      <c r="B346" s="176" t="s">
        <v>381</v>
      </c>
      <c r="C346" s="157" t="s">
        <v>117</v>
      </c>
      <c r="D346" s="157" t="s">
        <v>90</v>
      </c>
      <c r="E346" s="157" t="s">
        <v>86</v>
      </c>
      <c r="F346" s="186" t="s">
        <v>279</v>
      </c>
      <c r="G346" s="186" t="s">
        <v>143</v>
      </c>
      <c r="H346" s="186" t="s">
        <v>296</v>
      </c>
      <c r="I346" s="186" t="s">
        <v>382</v>
      </c>
      <c r="J346" s="157"/>
      <c r="K346" s="216">
        <f>K347</f>
        <v>0</v>
      </c>
      <c r="L346" s="216">
        <f t="shared" ref="L346:M347" si="127">L347</f>
        <v>0</v>
      </c>
      <c r="M346" s="216">
        <f t="shared" si="127"/>
        <v>0</v>
      </c>
      <c r="N346" s="213"/>
      <c r="O346" s="213"/>
      <c r="P346" s="213"/>
      <c r="Q346" s="213"/>
      <c r="R346" s="213"/>
      <c r="S346" s="213"/>
    </row>
    <row r="347" spans="2:19" s="214" customFormat="1" ht="46.8" hidden="1">
      <c r="B347" s="176" t="s">
        <v>199</v>
      </c>
      <c r="C347" s="157" t="s">
        <v>117</v>
      </c>
      <c r="D347" s="157" t="s">
        <v>90</v>
      </c>
      <c r="E347" s="157" t="s">
        <v>86</v>
      </c>
      <c r="F347" s="186" t="s">
        <v>279</v>
      </c>
      <c r="G347" s="186" t="s">
        <v>143</v>
      </c>
      <c r="H347" s="186" t="s">
        <v>296</v>
      </c>
      <c r="I347" s="186" t="s">
        <v>382</v>
      </c>
      <c r="J347" s="157" t="s">
        <v>71</v>
      </c>
      <c r="K347" s="216">
        <f>K348</f>
        <v>0</v>
      </c>
      <c r="L347" s="216">
        <f t="shared" si="127"/>
        <v>0</v>
      </c>
      <c r="M347" s="216">
        <f t="shared" si="127"/>
        <v>0</v>
      </c>
      <c r="N347" s="213"/>
      <c r="O347" s="213"/>
      <c r="P347" s="213"/>
      <c r="Q347" s="213"/>
      <c r="R347" s="213"/>
      <c r="S347" s="213"/>
    </row>
    <row r="348" spans="2:19" s="214" customFormat="1" ht="46.8" hidden="1">
      <c r="B348" s="176" t="s">
        <v>72</v>
      </c>
      <c r="C348" s="157" t="s">
        <v>117</v>
      </c>
      <c r="D348" s="157" t="s">
        <v>90</v>
      </c>
      <c r="E348" s="157" t="s">
        <v>86</v>
      </c>
      <c r="F348" s="186" t="s">
        <v>279</v>
      </c>
      <c r="G348" s="186" t="s">
        <v>143</v>
      </c>
      <c r="H348" s="186" t="s">
        <v>296</v>
      </c>
      <c r="I348" s="186" t="s">
        <v>382</v>
      </c>
      <c r="J348" s="157" t="s">
        <v>73</v>
      </c>
      <c r="K348" s="216"/>
      <c r="L348" s="216"/>
      <c r="M348" s="216"/>
      <c r="N348" s="213"/>
      <c r="O348" s="213"/>
      <c r="P348" s="213"/>
      <c r="Q348" s="213"/>
      <c r="R348" s="213"/>
      <c r="S348" s="213"/>
    </row>
    <row r="349" spans="2:19" s="214" customFormat="1" ht="31.2">
      <c r="B349" s="176" t="s">
        <v>383</v>
      </c>
      <c r="C349" s="157" t="s">
        <v>117</v>
      </c>
      <c r="D349" s="157" t="s">
        <v>90</v>
      </c>
      <c r="E349" s="157" t="s">
        <v>86</v>
      </c>
      <c r="F349" s="186" t="s">
        <v>279</v>
      </c>
      <c r="G349" s="186" t="s">
        <v>143</v>
      </c>
      <c r="H349" s="186" t="s">
        <v>296</v>
      </c>
      <c r="I349" s="186" t="s">
        <v>384</v>
      </c>
      <c r="J349" s="157"/>
      <c r="K349" s="216">
        <f>K350</f>
        <v>500</v>
      </c>
      <c r="L349" s="216">
        <f t="shared" ref="L349:M350" si="128">L350</f>
        <v>100</v>
      </c>
      <c r="M349" s="216">
        <f t="shared" si="128"/>
        <v>50</v>
      </c>
      <c r="N349" s="213"/>
      <c r="O349" s="213"/>
      <c r="P349" s="213"/>
      <c r="Q349" s="213"/>
      <c r="R349" s="213"/>
      <c r="S349" s="213"/>
    </row>
    <row r="350" spans="2:19" s="214" customFormat="1" ht="46.8">
      <c r="B350" s="176" t="s">
        <v>199</v>
      </c>
      <c r="C350" s="157" t="s">
        <v>117</v>
      </c>
      <c r="D350" s="157" t="s">
        <v>90</v>
      </c>
      <c r="E350" s="157" t="s">
        <v>86</v>
      </c>
      <c r="F350" s="186" t="s">
        <v>279</v>
      </c>
      <c r="G350" s="186" t="s">
        <v>143</v>
      </c>
      <c r="H350" s="186" t="s">
        <v>296</v>
      </c>
      <c r="I350" s="186" t="s">
        <v>384</v>
      </c>
      <c r="J350" s="157" t="s">
        <v>71</v>
      </c>
      <c r="K350" s="216">
        <f>K351</f>
        <v>500</v>
      </c>
      <c r="L350" s="216">
        <f t="shared" si="128"/>
        <v>100</v>
      </c>
      <c r="M350" s="216">
        <f t="shared" si="128"/>
        <v>50</v>
      </c>
      <c r="N350" s="213"/>
      <c r="O350" s="213"/>
      <c r="P350" s="213"/>
      <c r="Q350" s="213"/>
      <c r="R350" s="213"/>
      <c r="S350" s="213"/>
    </row>
    <row r="351" spans="2:19" s="214" customFormat="1" ht="46.8">
      <c r="B351" s="176" t="s">
        <v>72</v>
      </c>
      <c r="C351" s="157" t="s">
        <v>117</v>
      </c>
      <c r="D351" s="157" t="s">
        <v>90</v>
      </c>
      <c r="E351" s="157" t="s">
        <v>86</v>
      </c>
      <c r="F351" s="186" t="s">
        <v>279</v>
      </c>
      <c r="G351" s="186" t="s">
        <v>143</v>
      </c>
      <c r="H351" s="186" t="s">
        <v>296</v>
      </c>
      <c r="I351" s="186" t="s">
        <v>384</v>
      </c>
      <c r="J351" s="157" t="s">
        <v>73</v>
      </c>
      <c r="K351" s="216">
        <f>500</f>
        <v>500</v>
      </c>
      <c r="L351" s="216">
        <f>100</f>
        <v>100</v>
      </c>
      <c r="M351" s="216">
        <f>50</f>
        <v>50</v>
      </c>
      <c r="N351" s="213"/>
      <c r="O351" s="213"/>
      <c r="P351" s="213"/>
      <c r="Q351" s="213"/>
      <c r="R351" s="213"/>
      <c r="S351" s="213"/>
    </row>
    <row r="352" spans="2:19" s="214" customFormat="1" ht="46.8" hidden="1">
      <c r="B352" s="176" t="s">
        <v>385</v>
      </c>
      <c r="C352" s="157" t="s">
        <v>117</v>
      </c>
      <c r="D352" s="157" t="s">
        <v>90</v>
      </c>
      <c r="E352" s="157" t="s">
        <v>86</v>
      </c>
      <c r="F352" s="186" t="s">
        <v>279</v>
      </c>
      <c r="G352" s="186" t="s">
        <v>143</v>
      </c>
      <c r="H352" s="186" t="s">
        <v>296</v>
      </c>
      <c r="I352" s="186" t="s">
        <v>386</v>
      </c>
      <c r="J352" s="157"/>
      <c r="K352" s="216">
        <f>K353</f>
        <v>0</v>
      </c>
      <c r="L352" s="216">
        <f t="shared" ref="L352:M353" si="129">L353</f>
        <v>0</v>
      </c>
      <c r="M352" s="216">
        <f t="shared" si="129"/>
        <v>0</v>
      </c>
      <c r="N352" s="213"/>
      <c r="O352" s="213"/>
      <c r="P352" s="213"/>
      <c r="Q352" s="213"/>
      <c r="R352" s="213"/>
      <c r="S352" s="213"/>
    </row>
    <row r="353" spans="2:19" s="214" customFormat="1" ht="46.8" hidden="1">
      <c r="B353" s="176" t="s">
        <v>199</v>
      </c>
      <c r="C353" s="157" t="s">
        <v>117</v>
      </c>
      <c r="D353" s="157" t="s">
        <v>90</v>
      </c>
      <c r="E353" s="157" t="s">
        <v>86</v>
      </c>
      <c r="F353" s="186" t="s">
        <v>279</v>
      </c>
      <c r="G353" s="186" t="s">
        <v>143</v>
      </c>
      <c r="H353" s="186" t="s">
        <v>296</v>
      </c>
      <c r="I353" s="186" t="s">
        <v>386</v>
      </c>
      <c r="J353" s="157" t="s">
        <v>71</v>
      </c>
      <c r="K353" s="216">
        <f>K354</f>
        <v>0</v>
      </c>
      <c r="L353" s="216">
        <f t="shared" si="129"/>
        <v>0</v>
      </c>
      <c r="M353" s="216">
        <f t="shared" si="129"/>
        <v>0</v>
      </c>
      <c r="N353" s="213"/>
      <c r="O353" s="213"/>
      <c r="P353" s="213"/>
      <c r="Q353" s="213"/>
      <c r="R353" s="213"/>
      <c r="S353" s="213"/>
    </row>
    <row r="354" spans="2:19" s="214" customFormat="1" ht="46.8" hidden="1">
      <c r="B354" s="176" t="s">
        <v>72</v>
      </c>
      <c r="C354" s="157" t="s">
        <v>117</v>
      </c>
      <c r="D354" s="157" t="s">
        <v>90</v>
      </c>
      <c r="E354" s="157" t="s">
        <v>86</v>
      </c>
      <c r="F354" s="186" t="s">
        <v>279</v>
      </c>
      <c r="G354" s="186" t="s">
        <v>143</v>
      </c>
      <c r="H354" s="186" t="s">
        <v>296</v>
      </c>
      <c r="I354" s="186" t="s">
        <v>386</v>
      </c>
      <c r="J354" s="157" t="s">
        <v>73</v>
      </c>
      <c r="K354" s="216"/>
      <c r="L354" s="216"/>
      <c r="M354" s="216"/>
      <c r="N354" s="213"/>
      <c r="O354" s="213"/>
      <c r="P354" s="213"/>
      <c r="Q354" s="213"/>
      <c r="R354" s="213"/>
      <c r="S354" s="213"/>
    </row>
    <row r="355" spans="2:19" s="214" customFormat="1" ht="15.6" hidden="1">
      <c r="B355" s="176" t="s">
        <v>256</v>
      </c>
      <c r="C355" s="157" t="s">
        <v>117</v>
      </c>
      <c r="D355" s="157" t="s">
        <v>90</v>
      </c>
      <c r="E355" s="157" t="s">
        <v>86</v>
      </c>
      <c r="F355" s="157" t="s">
        <v>279</v>
      </c>
      <c r="G355" s="157" t="s">
        <v>143</v>
      </c>
      <c r="H355" s="157" t="s">
        <v>296</v>
      </c>
      <c r="I355" s="157" t="s">
        <v>257</v>
      </c>
      <c r="J355" s="157"/>
      <c r="K355" s="216">
        <f>K356</f>
        <v>0</v>
      </c>
      <c r="L355" s="216">
        <f t="shared" ref="L355:M356" si="130">L356</f>
        <v>0</v>
      </c>
      <c r="M355" s="216">
        <f t="shared" si="130"/>
        <v>0</v>
      </c>
      <c r="N355" s="213"/>
      <c r="O355" s="213"/>
      <c r="P355" s="213"/>
      <c r="Q355" s="213"/>
      <c r="R355" s="213"/>
      <c r="S355" s="213"/>
    </row>
    <row r="356" spans="2:19" s="214" customFormat="1" ht="46.8" hidden="1">
      <c r="B356" s="176" t="s">
        <v>199</v>
      </c>
      <c r="C356" s="157" t="s">
        <v>117</v>
      </c>
      <c r="D356" s="157" t="s">
        <v>90</v>
      </c>
      <c r="E356" s="157" t="s">
        <v>86</v>
      </c>
      <c r="F356" s="157" t="s">
        <v>279</v>
      </c>
      <c r="G356" s="157" t="s">
        <v>143</v>
      </c>
      <c r="H356" s="157" t="s">
        <v>296</v>
      </c>
      <c r="I356" s="157" t="s">
        <v>257</v>
      </c>
      <c r="J356" s="157" t="s">
        <v>71</v>
      </c>
      <c r="K356" s="216">
        <f>K357</f>
        <v>0</v>
      </c>
      <c r="L356" s="216">
        <f t="shared" si="130"/>
        <v>0</v>
      </c>
      <c r="M356" s="216">
        <f t="shared" si="130"/>
        <v>0</v>
      </c>
      <c r="N356" s="213"/>
      <c r="O356" s="213"/>
      <c r="P356" s="213"/>
      <c r="Q356" s="213"/>
      <c r="R356" s="213"/>
      <c r="S356" s="213"/>
    </row>
    <row r="357" spans="2:19" s="214" customFormat="1" ht="46.8" hidden="1">
      <c r="B357" s="176" t="s">
        <v>72</v>
      </c>
      <c r="C357" s="157" t="s">
        <v>117</v>
      </c>
      <c r="D357" s="157" t="s">
        <v>90</v>
      </c>
      <c r="E357" s="157" t="s">
        <v>86</v>
      </c>
      <c r="F357" s="157" t="s">
        <v>279</v>
      </c>
      <c r="G357" s="157" t="s">
        <v>143</v>
      </c>
      <c r="H357" s="157" t="s">
        <v>296</v>
      </c>
      <c r="I357" s="157" t="s">
        <v>257</v>
      </c>
      <c r="J357" s="157" t="s">
        <v>73</v>
      </c>
      <c r="K357" s="216"/>
      <c r="L357" s="216"/>
      <c r="M357" s="216"/>
      <c r="N357" s="213"/>
      <c r="O357" s="213"/>
      <c r="P357" s="213"/>
      <c r="Q357" s="213"/>
      <c r="R357" s="213"/>
      <c r="S357" s="213"/>
    </row>
    <row r="358" spans="2:19" s="214" customFormat="1" ht="46.8" hidden="1">
      <c r="B358" s="176" t="s">
        <v>387</v>
      </c>
      <c r="C358" s="157" t="s">
        <v>117</v>
      </c>
      <c r="D358" s="157" t="s">
        <v>90</v>
      </c>
      <c r="E358" s="157" t="s">
        <v>86</v>
      </c>
      <c r="F358" s="186" t="s">
        <v>279</v>
      </c>
      <c r="G358" s="186" t="s">
        <v>143</v>
      </c>
      <c r="H358" s="186" t="s">
        <v>388</v>
      </c>
      <c r="I358" s="186" t="s">
        <v>145</v>
      </c>
      <c r="J358" s="157"/>
      <c r="K358" s="216">
        <f>K359+K362</f>
        <v>0</v>
      </c>
      <c r="L358" s="216">
        <f t="shared" ref="L358:M358" si="131">L359+L362</f>
        <v>0</v>
      </c>
      <c r="M358" s="216">
        <f t="shared" si="131"/>
        <v>0</v>
      </c>
      <c r="N358" s="213"/>
      <c r="O358" s="213"/>
      <c r="P358" s="213"/>
      <c r="Q358" s="213"/>
      <c r="R358" s="213"/>
      <c r="S358" s="213"/>
    </row>
    <row r="359" spans="2:19" s="214" customFormat="1" ht="46.8" hidden="1">
      <c r="B359" s="176" t="s">
        <v>389</v>
      </c>
      <c r="C359" s="157" t="s">
        <v>117</v>
      </c>
      <c r="D359" s="157" t="s">
        <v>90</v>
      </c>
      <c r="E359" s="157" t="s">
        <v>86</v>
      </c>
      <c r="F359" s="186" t="s">
        <v>279</v>
      </c>
      <c r="G359" s="186" t="s">
        <v>143</v>
      </c>
      <c r="H359" s="186" t="s">
        <v>388</v>
      </c>
      <c r="I359" s="186" t="s">
        <v>390</v>
      </c>
      <c r="J359" s="157"/>
      <c r="K359" s="216">
        <f>K360</f>
        <v>0</v>
      </c>
      <c r="L359" s="216">
        <f t="shared" ref="L359:M360" si="132">L360</f>
        <v>0</v>
      </c>
      <c r="M359" s="216">
        <f t="shared" si="132"/>
        <v>0</v>
      </c>
      <c r="N359" s="213"/>
      <c r="O359" s="213"/>
      <c r="P359" s="213"/>
      <c r="Q359" s="213"/>
      <c r="R359" s="213"/>
      <c r="S359" s="213"/>
    </row>
    <row r="360" spans="2:19" s="214" customFormat="1" ht="46.8" hidden="1">
      <c r="B360" s="176" t="s">
        <v>199</v>
      </c>
      <c r="C360" s="157" t="s">
        <v>117</v>
      </c>
      <c r="D360" s="157" t="s">
        <v>90</v>
      </c>
      <c r="E360" s="157" t="s">
        <v>86</v>
      </c>
      <c r="F360" s="186" t="s">
        <v>279</v>
      </c>
      <c r="G360" s="186" t="s">
        <v>143</v>
      </c>
      <c r="H360" s="186" t="s">
        <v>388</v>
      </c>
      <c r="I360" s="186" t="s">
        <v>390</v>
      </c>
      <c r="J360" s="157" t="s">
        <v>71</v>
      </c>
      <c r="K360" s="216">
        <f>K361</f>
        <v>0</v>
      </c>
      <c r="L360" s="216">
        <f t="shared" si="132"/>
        <v>0</v>
      </c>
      <c r="M360" s="216">
        <f t="shared" si="132"/>
        <v>0</v>
      </c>
      <c r="N360" s="213"/>
      <c r="O360" s="213"/>
      <c r="P360" s="213"/>
      <c r="Q360" s="213"/>
      <c r="R360" s="213"/>
      <c r="S360" s="213"/>
    </row>
    <row r="361" spans="2:19" s="214" customFormat="1" ht="46.8" hidden="1">
      <c r="B361" s="176" t="s">
        <v>72</v>
      </c>
      <c r="C361" s="157" t="s">
        <v>117</v>
      </c>
      <c r="D361" s="157" t="s">
        <v>90</v>
      </c>
      <c r="E361" s="157" t="s">
        <v>86</v>
      </c>
      <c r="F361" s="186" t="s">
        <v>279</v>
      </c>
      <c r="G361" s="186" t="s">
        <v>143</v>
      </c>
      <c r="H361" s="186" t="s">
        <v>388</v>
      </c>
      <c r="I361" s="186" t="s">
        <v>390</v>
      </c>
      <c r="J361" s="157" t="s">
        <v>73</v>
      </c>
      <c r="K361" s="216"/>
      <c r="L361" s="216"/>
      <c r="M361" s="216"/>
      <c r="N361" s="213"/>
      <c r="O361" s="213"/>
      <c r="P361" s="213"/>
      <c r="Q361" s="213"/>
      <c r="R361" s="213"/>
      <c r="S361" s="213"/>
    </row>
    <row r="362" spans="2:19" s="214" customFormat="1" ht="15.6" hidden="1">
      <c r="B362" s="176" t="s">
        <v>256</v>
      </c>
      <c r="C362" s="157" t="s">
        <v>117</v>
      </c>
      <c r="D362" s="157" t="s">
        <v>90</v>
      </c>
      <c r="E362" s="157" t="s">
        <v>86</v>
      </c>
      <c r="F362" s="157" t="s">
        <v>279</v>
      </c>
      <c r="G362" s="157" t="s">
        <v>143</v>
      </c>
      <c r="H362" s="157" t="s">
        <v>388</v>
      </c>
      <c r="I362" s="157" t="s">
        <v>257</v>
      </c>
      <c r="J362" s="157"/>
      <c r="K362" s="216">
        <f>K363</f>
        <v>0</v>
      </c>
      <c r="L362" s="216">
        <f t="shared" ref="L362:M363" si="133">L363</f>
        <v>0</v>
      </c>
      <c r="M362" s="216">
        <f t="shared" si="133"/>
        <v>0</v>
      </c>
      <c r="N362" s="213"/>
      <c r="O362" s="213"/>
      <c r="P362" s="213"/>
      <c r="Q362" s="213"/>
      <c r="R362" s="213"/>
      <c r="S362" s="213"/>
    </row>
    <row r="363" spans="2:19" s="214" customFormat="1" ht="46.8" hidden="1">
      <c r="B363" s="176" t="s">
        <v>199</v>
      </c>
      <c r="C363" s="157" t="s">
        <v>117</v>
      </c>
      <c r="D363" s="157" t="s">
        <v>90</v>
      </c>
      <c r="E363" s="157" t="s">
        <v>86</v>
      </c>
      <c r="F363" s="157" t="s">
        <v>279</v>
      </c>
      <c r="G363" s="157" t="s">
        <v>143</v>
      </c>
      <c r="H363" s="157" t="s">
        <v>388</v>
      </c>
      <c r="I363" s="157" t="s">
        <v>257</v>
      </c>
      <c r="J363" s="157" t="s">
        <v>71</v>
      </c>
      <c r="K363" s="216">
        <f>K364</f>
        <v>0</v>
      </c>
      <c r="L363" s="216">
        <f t="shared" si="133"/>
        <v>0</v>
      </c>
      <c r="M363" s="216">
        <f t="shared" si="133"/>
        <v>0</v>
      </c>
      <c r="N363" s="213"/>
      <c r="O363" s="213"/>
      <c r="P363" s="213"/>
      <c r="Q363" s="213"/>
      <c r="R363" s="213"/>
      <c r="S363" s="213"/>
    </row>
    <row r="364" spans="2:19" s="214" customFormat="1" ht="46.8" hidden="1">
      <c r="B364" s="176" t="s">
        <v>72</v>
      </c>
      <c r="C364" s="157" t="s">
        <v>117</v>
      </c>
      <c r="D364" s="157" t="s">
        <v>90</v>
      </c>
      <c r="E364" s="157" t="s">
        <v>86</v>
      </c>
      <c r="F364" s="157" t="s">
        <v>279</v>
      </c>
      <c r="G364" s="157" t="s">
        <v>143</v>
      </c>
      <c r="H364" s="157" t="s">
        <v>388</v>
      </c>
      <c r="I364" s="157" t="s">
        <v>257</v>
      </c>
      <c r="J364" s="157" t="s">
        <v>73</v>
      </c>
      <c r="K364" s="216"/>
      <c r="L364" s="216"/>
      <c r="M364" s="216"/>
      <c r="N364" s="213"/>
      <c r="O364" s="213"/>
      <c r="P364" s="213"/>
      <c r="Q364" s="213"/>
      <c r="R364" s="213"/>
      <c r="S364" s="213"/>
    </row>
    <row r="365" spans="2:19" s="214" customFormat="1" ht="31.2" hidden="1">
      <c r="B365" s="176" t="s">
        <v>326</v>
      </c>
      <c r="C365" s="157" t="s">
        <v>117</v>
      </c>
      <c r="D365" s="157" t="s">
        <v>90</v>
      </c>
      <c r="E365" s="157" t="s">
        <v>86</v>
      </c>
      <c r="F365" s="186" t="s">
        <v>279</v>
      </c>
      <c r="G365" s="186" t="s">
        <v>143</v>
      </c>
      <c r="H365" s="157" t="s">
        <v>327</v>
      </c>
      <c r="I365" s="186" t="s">
        <v>145</v>
      </c>
      <c r="J365" s="157"/>
      <c r="K365" s="216">
        <f>K366+K369</f>
        <v>0</v>
      </c>
      <c r="L365" s="216">
        <f t="shared" ref="L365:M365" si="134">L366+L369</f>
        <v>0</v>
      </c>
      <c r="M365" s="216">
        <f t="shared" si="134"/>
        <v>0</v>
      </c>
      <c r="N365" s="213"/>
      <c r="O365" s="213"/>
      <c r="P365" s="213"/>
      <c r="Q365" s="213"/>
      <c r="R365" s="213"/>
      <c r="S365" s="213"/>
    </row>
    <row r="366" spans="2:19" s="214" customFormat="1" ht="31.2" hidden="1">
      <c r="B366" s="176" t="s">
        <v>328</v>
      </c>
      <c r="C366" s="157" t="s">
        <v>117</v>
      </c>
      <c r="D366" s="157" t="s">
        <v>90</v>
      </c>
      <c r="E366" s="157" t="s">
        <v>86</v>
      </c>
      <c r="F366" s="186" t="s">
        <v>279</v>
      </c>
      <c r="G366" s="186" t="s">
        <v>143</v>
      </c>
      <c r="H366" s="186" t="s">
        <v>327</v>
      </c>
      <c r="I366" s="186" t="s">
        <v>329</v>
      </c>
      <c r="J366" s="157"/>
      <c r="K366" s="216">
        <f>K367</f>
        <v>0</v>
      </c>
      <c r="L366" s="216">
        <f t="shared" ref="L366:M367" si="135">L367</f>
        <v>0</v>
      </c>
      <c r="M366" s="216">
        <f t="shared" si="135"/>
        <v>0</v>
      </c>
      <c r="N366" s="213"/>
      <c r="O366" s="213"/>
      <c r="P366" s="213"/>
      <c r="Q366" s="213"/>
      <c r="R366" s="213"/>
      <c r="S366" s="213"/>
    </row>
    <row r="367" spans="2:19" s="214" customFormat="1" ht="46.8" hidden="1">
      <c r="B367" s="176" t="s">
        <v>199</v>
      </c>
      <c r="C367" s="157" t="s">
        <v>117</v>
      </c>
      <c r="D367" s="157" t="s">
        <v>90</v>
      </c>
      <c r="E367" s="157" t="s">
        <v>86</v>
      </c>
      <c r="F367" s="186" t="s">
        <v>279</v>
      </c>
      <c r="G367" s="186" t="s">
        <v>143</v>
      </c>
      <c r="H367" s="186" t="s">
        <v>327</v>
      </c>
      <c r="I367" s="186" t="s">
        <v>329</v>
      </c>
      <c r="J367" s="157" t="s">
        <v>71</v>
      </c>
      <c r="K367" s="216">
        <f>K368</f>
        <v>0</v>
      </c>
      <c r="L367" s="216">
        <f t="shared" si="135"/>
        <v>0</v>
      </c>
      <c r="M367" s="216">
        <f t="shared" si="135"/>
        <v>0</v>
      </c>
      <c r="N367" s="213"/>
      <c r="O367" s="213"/>
      <c r="P367" s="213"/>
      <c r="Q367" s="213"/>
      <c r="R367" s="213"/>
      <c r="S367" s="213"/>
    </row>
    <row r="368" spans="2:19" s="214" customFormat="1" ht="46.8" hidden="1">
      <c r="B368" s="176" t="s">
        <v>72</v>
      </c>
      <c r="C368" s="157" t="s">
        <v>117</v>
      </c>
      <c r="D368" s="157" t="s">
        <v>90</v>
      </c>
      <c r="E368" s="157" t="s">
        <v>86</v>
      </c>
      <c r="F368" s="186" t="s">
        <v>279</v>
      </c>
      <c r="G368" s="186" t="s">
        <v>143</v>
      </c>
      <c r="H368" s="186" t="s">
        <v>327</v>
      </c>
      <c r="I368" s="186" t="s">
        <v>329</v>
      </c>
      <c r="J368" s="157" t="s">
        <v>73</v>
      </c>
      <c r="K368" s="216"/>
      <c r="L368" s="216"/>
      <c r="M368" s="216"/>
      <c r="N368" s="213"/>
      <c r="O368" s="213"/>
      <c r="P368" s="213"/>
      <c r="Q368" s="213"/>
      <c r="R368" s="213"/>
      <c r="S368" s="213"/>
    </row>
    <row r="369" spans="2:19" s="214" customFormat="1" ht="15.6" hidden="1">
      <c r="B369" s="176" t="s">
        <v>256</v>
      </c>
      <c r="C369" s="157" t="s">
        <v>117</v>
      </c>
      <c r="D369" s="157" t="s">
        <v>90</v>
      </c>
      <c r="E369" s="157" t="s">
        <v>86</v>
      </c>
      <c r="F369" s="157" t="s">
        <v>279</v>
      </c>
      <c r="G369" s="157" t="s">
        <v>143</v>
      </c>
      <c r="H369" s="157" t="s">
        <v>327</v>
      </c>
      <c r="I369" s="157" t="s">
        <v>257</v>
      </c>
      <c r="J369" s="157"/>
      <c r="K369" s="216">
        <f>K370</f>
        <v>0</v>
      </c>
      <c r="L369" s="216">
        <f t="shared" ref="L369:M370" si="136">L370</f>
        <v>0</v>
      </c>
      <c r="M369" s="216">
        <f t="shared" si="136"/>
        <v>0</v>
      </c>
      <c r="N369" s="213"/>
      <c r="O369" s="213"/>
      <c r="P369" s="213"/>
      <c r="Q369" s="213"/>
      <c r="R369" s="213"/>
      <c r="S369" s="213"/>
    </row>
    <row r="370" spans="2:19" s="214" customFormat="1" ht="46.8" hidden="1">
      <c r="B370" s="176" t="s">
        <v>199</v>
      </c>
      <c r="C370" s="157" t="s">
        <v>117</v>
      </c>
      <c r="D370" s="157" t="s">
        <v>90</v>
      </c>
      <c r="E370" s="157" t="s">
        <v>86</v>
      </c>
      <c r="F370" s="157" t="s">
        <v>279</v>
      </c>
      <c r="G370" s="157" t="s">
        <v>143</v>
      </c>
      <c r="H370" s="157" t="s">
        <v>327</v>
      </c>
      <c r="I370" s="157" t="s">
        <v>257</v>
      </c>
      <c r="J370" s="157" t="s">
        <v>71</v>
      </c>
      <c r="K370" s="216">
        <f>K371</f>
        <v>0</v>
      </c>
      <c r="L370" s="216">
        <f t="shared" si="136"/>
        <v>0</v>
      </c>
      <c r="M370" s="216">
        <f t="shared" si="136"/>
        <v>0</v>
      </c>
      <c r="N370" s="213"/>
      <c r="O370" s="213"/>
      <c r="P370" s="213"/>
      <c r="Q370" s="213"/>
      <c r="R370" s="213"/>
      <c r="S370" s="213"/>
    </row>
    <row r="371" spans="2:19" s="214" customFormat="1" ht="46.8" hidden="1">
      <c r="B371" s="176" t="s">
        <v>72</v>
      </c>
      <c r="C371" s="157" t="s">
        <v>117</v>
      </c>
      <c r="D371" s="157" t="s">
        <v>90</v>
      </c>
      <c r="E371" s="157" t="s">
        <v>86</v>
      </c>
      <c r="F371" s="157" t="s">
        <v>279</v>
      </c>
      <c r="G371" s="157" t="s">
        <v>143</v>
      </c>
      <c r="H371" s="157" t="s">
        <v>327</v>
      </c>
      <c r="I371" s="157" t="s">
        <v>257</v>
      </c>
      <c r="J371" s="157" t="s">
        <v>73</v>
      </c>
      <c r="K371" s="216"/>
      <c r="L371" s="216"/>
      <c r="M371" s="216"/>
      <c r="N371" s="213"/>
      <c r="O371" s="213"/>
      <c r="P371" s="213"/>
      <c r="Q371" s="213"/>
      <c r="R371" s="213"/>
      <c r="S371" s="213"/>
    </row>
    <row r="372" spans="2:19" s="214" customFormat="1" ht="31.2" hidden="1">
      <c r="B372" s="176" t="s">
        <v>391</v>
      </c>
      <c r="C372" s="157" t="s">
        <v>117</v>
      </c>
      <c r="D372" s="157" t="s">
        <v>90</v>
      </c>
      <c r="E372" s="157" t="s">
        <v>86</v>
      </c>
      <c r="F372" s="186" t="s">
        <v>279</v>
      </c>
      <c r="G372" s="186" t="s">
        <v>143</v>
      </c>
      <c r="H372" s="157" t="s">
        <v>255</v>
      </c>
      <c r="I372" s="186" t="s">
        <v>145</v>
      </c>
      <c r="J372" s="157"/>
      <c r="K372" s="216">
        <f>K373+K376</f>
        <v>0</v>
      </c>
      <c r="L372" s="216">
        <f t="shared" ref="L372:M372" si="137">L373+L376</f>
        <v>0</v>
      </c>
      <c r="M372" s="216">
        <f t="shared" si="137"/>
        <v>0</v>
      </c>
      <c r="N372" s="213"/>
      <c r="O372" s="213"/>
      <c r="P372" s="213"/>
      <c r="Q372" s="213"/>
      <c r="R372" s="213"/>
      <c r="S372" s="213"/>
    </row>
    <row r="373" spans="2:19" s="214" customFormat="1" ht="31.2" hidden="1">
      <c r="B373" s="176" t="s">
        <v>392</v>
      </c>
      <c r="C373" s="157" t="s">
        <v>117</v>
      </c>
      <c r="D373" s="157" t="s">
        <v>90</v>
      </c>
      <c r="E373" s="157" t="s">
        <v>86</v>
      </c>
      <c r="F373" s="186" t="s">
        <v>279</v>
      </c>
      <c r="G373" s="186" t="s">
        <v>143</v>
      </c>
      <c r="H373" s="186" t="s">
        <v>255</v>
      </c>
      <c r="I373" s="186" t="s">
        <v>393</v>
      </c>
      <c r="J373" s="157"/>
      <c r="K373" s="216">
        <f>K374</f>
        <v>0</v>
      </c>
      <c r="L373" s="216">
        <f t="shared" ref="L373:M374" si="138">L374</f>
        <v>0</v>
      </c>
      <c r="M373" s="216">
        <f t="shared" si="138"/>
        <v>0</v>
      </c>
      <c r="N373" s="213"/>
      <c r="O373" s="213"/>
      <c r="P373" s="213"/>
      <c r="Q373" s="213"/>
      <c r="R373" s="213"/>
      <c r="S373" s="213"/>
    </row>
    <row r="374" spans="2:19" s="214" customFormat="1" ht="46.8" hidden="1">
      <c r="B374" s="176" t="s">
        <v>199</v>
      </c>
      <c r="C374" s="157" t="s">
        <v>117</v>
      </c>
      <c r="D374" s="157" t="s">
        <v>90</v>
      </c>
      <c r="E374" s="157" t="s">
        <v>86</v>
      </c>
      <c r="F374" s="186" t="s">
        <v>279</v>
      </c>
      <c r="G374" s="186" t="s">
        <v>143</v>
      </c>
      <c r="H374" s="186" t="s">
        <v>255</v>
      </c>
      <c r="I374" s="186" t="s">
        <v>393</v>
      </c>
      <c r="J374" s="157" t="s">
        <v>71</v>
      </c>
      <c r="K374" s="216">
        <f>K375</f>
        <v>0</v>
      </c>
      <c r="L374" s="216">
        <f t="shared" si="138"/>
        <v>0</v>
      </c>
      <c r="M374" s="216">
        <f t="shared" si="138"/>
        <v>0</v>
      </c>
      <c r="N374" s="213"/>
      <c r="O374" s="213"/>
      <c r="P374" s="213"/>
      <c r="Q374" s="213"/>
      <c r="R374" s="213"/>
      <c r="S374" s="213"/>
    </row>
    <row r="375" spans="2:19" s="214" customFormat="1" ht="46.8" hidden="1">
      <c r="B375" s="176" t="s">
        <v>72</v>
      </c>
      <c r="C375" s="157" t="s">
        <v>117</v>
      </c>
      <c r="D375" s="157" t="s">
        <v>90</v>
      </c>
      <c r="E375" s="157" t="s">
        <v>86</v>
      </c>
      <c r="F375" s="186" t="s">
        <v>279</v>
      </c>
      <c r="G375" s="186" t="s">
        <v>143</v>
      </c>
      <c r="H375" s="186" t="s">
        <v>255</v>
      </c>
      <c r="I375" s="186" t="s">
        <v>393</v>
      </c>
      <c r="J375" s="157" t="s">
        <v>73</v>
      </c>
      <c r="K375" s="216"/>
      <c r="L375" s="216"/>
      <c r="M375" s="216"/>
      <c r="N375" s="213"/>
      <c r="O375" s="213"/>
      <c r="P375" s="213"/>
      <c r="Q375" s="213"/>
      <c r="R375" s="213"/>
      <c r="S375" s="213"/>
    </row>
    <row r="376" spans="2:19" s="214" customFormat="1" ht="15.6" hidden="1">
      <c r="B376" s="176" t="s">
        <v>256</v>
      </c>
      <c r="C376" s="157" t="s">
        <v>117</v>
      </c>
      <c r="D376" s="157" t="s">
        <v>90</v>
      </c>
      <c r="E376" s="157" t="s">
        <v>86</v>
      </c>
      <c r="F376" s="157" t="s">
        <v>279</v>
      </c>
      <c r="G376" s="157" t="s">
        <v>143</v>
      </c>
      <c r="H376" s="157" t="s">
        <v>255</v>
      </c>
      <c r="I376" s="157" t="s">
        <v>257</v>
      </c>
      <c r="J376" s="157"/>
      <c r="K376" s="216">
        <f>K377</f>
        <v>0</v>
      </c>
      <c r="L376" s="216">
        <f t="shared" ref="L376:M377" si="139">L377</f>
        <v>0</v>
      </c>
      <c r="M376" s="216">
        <f t="shared" si="139"/>
        <v>0</v>
      </c>
      <c r="N376" s="213"/>
      <c r="O376" s="213"/>
      <c r="P376" s="213"/>
      <c r="Q376" s="213"/>
      <c r="R376" s="213"/>
      <c r="S376" s="213"/>
    </row>
    <row r="377" spans="2:19" s="214" customFormat="1" ht="46.8" hidden="1">
      <c r="B377" s="176" t="s">
        <v>199</v>
      </c>
      <c r="C377" s="157" t="s">
        <v>117</v>
      </c>
      <c r="D377" s="157" t="s">
        <v>90</v>
      </c>
      <c r="E377" s="157" t="s">
        <v>86</v>
      </c>
      <c r="F377" s="157" t="s">
        <v>279</v>
      </c>
      <c r="G377" s="157" t="s">
        <v>143</v>
      </c>
      <c r="H377" s="157" t="s">
        <v>255</v>
      </c>
      <c r="I377" s="157" t="s">
        <v>257</v>
      </c>
      <c r="J377" s="157" t="s">
        <v>71</v>
      </c>
      <c r="K377" s="216">
        <f>K378</f>
        <v>0</v>
      </c>
      <c r="L377" s="216">
        <f t="shared" si="139"/>
        <v>0</v>
      </c>
      <c r="M377" s="216">
        <f t="shared" si="139"/>
        <v>0</v>
      </c>
      <c r="N377" s="213"/>
      <c r="O377" s="213"/>
      <c r="P377" s="213"/>
      <c r="Q377" s="213"/>
      <c r="R377" s="213"/>
      <c r="S377" s="213"/>
    </row>
    <row r="378" spans="2:19" s="214" customFormat="1" ht="46.8" hidden="1">
      <c r="B378" s="176" t="s">
        <v>72</v>
      </c>
      <c r="C378" s="157" t="s">
        <v>117</v>
      </c>
      <c r="D378" s="157" t="s">
        <v>90</v>
      </c>
      <c r="E378" s="157" t="s">
        <v>86</v>
      </c>
      <c r="F378" s="157" t="s">
        <v>279</v>
      </c>
      <c r="G378" s="157" t="s">
        <v>143</v>
      </c>
      <c r="H378" s="157" t="s">
        <v>255</v>
      </c>
      <c r="I378" s="157" t="s">
        <v>257</v>
      </c>
      <c r="J378" s="157" t="s">
        <v>73</v>
      </c>
      <c r="K378" s="216"/>
      <c r="L378" s="216"/>
      <c r="M378" s="216"/>
      <c r="N378" s="213"/>
      <c r="O378" s="213"/>
      <c r="P378" s="213"/>
      <c r="Q378" s="213"/>
      <c r="R378" s="213"/>
      <c r="S378" s="213"/>
    </row>
    <row r="379" spans="2:19" s="214" customFormat="1" ht="78" hidden="1">
      <c r="B379" s="176" t="s">
        <v>394</v>
      </c>
      <c r="C379" s="157" t="s">
        <v>117</v>
      </c>
      <c r="D379" s="157" t="s">
        <v>90</v>
      </c>
      <c r="E379" s="157" t="s">
        <v>86</v>
      </c>
      <c r="F379" s="186" t="s">
        <v>279</v>
      </c>
      <c r="G379" s="186" t="s">
        <v>143</v>
      </c>
      <c r="H379" s="157" t="s">
        <v>395</v>
      </c>
      <c r="I379" s="186" t="s">
        <v>145</v>
      </c>
      <c r="J379" s="157"/>
      <c r="K379" s="216">
        <f>K380+K383</f>
        <v>0</v>
      </c>
      <c r="L379" s="216">
        <f t="shared" ref="L379:M379" si="140">L380+L383</f>
        <v>0</v>
      </c>
      <c r="M379" s="216">
        <f t="shared" si="140"/>
        <v>0</v>
      </c>
      <c r="N379" s="213"/>
      <c r="O379" s="213"/>
      <c r="P379" s="213"/>
      <c r="Q379" s="213"/>
      <c r="R379" s="213"/>
      <c r="S379" s="213"/>
    </row>
    <row r="380" spans="2:19" s="214" customFormat="1" ht="62.4" hidden="1">
      <c r="B380" s="176" t="s">
        <v>396</v>
      </c>
      <c r="C380" s="157" t="s">
        <v>117</v>
      </c>
      <c r="D380" s="157" t="s">
        <v>90</v>
      </c>
      <c r="E380" s="157" t="s">
        <v>86</v>
      </c>
      <c r="F380" s="186" t="s">
        <v>279</v>
      </c>
      <c r="G380" s="186" t="s">
        <v>143</v>
      </c>
      <c r="H380" s="186" t="s">
        <v>395</v>
      </c>
      <c r="I380" s="186" t="s">
        <v>397</v>
      </c>
      <c r="J380" s="157"/>
      <c r="K380" s="216">
        <f>K381</f>
        <v>0</v>
      </c>
      <c r="L380" s="216">
        <f t="shared" ref="L380:M381" si="141">L381</f>
        <v>0</v>
      </c>
      <c r="M380" s="216">
        <f t="shared" si="141"/>
        <v>0</v>
      </c>
      <c r="N380" s="213"/>
      <c r="O380" s="213"/>
      <c r="P380" s="213"/>
      <c r="Q380" s="213"/>
      <c r="R380" s="213"/>
      <c r="S380" s="213"/>
    </row>
    <row r="381" spans="2:19" s="214" customFormat="1" ht="46.8" hidden="1">
      <c r="B381" s="176" t="s">
        <v>199</v>
      </c>
      <c r="C381" s="157" t="s">
        <v>117</v>
      </c>
      <c r="D381" s="157" t="s">
        <v>90</v>
      </c>
      <c r="E381" s="157" t="s">
        <v>86</v>
      </c>
      <c r="F381" s="186" t="s">
        <v>279</v>
      </c>
      <c r="G381" s="186" t="s">
        <v>143</v>
      </c>
      <c r="H381" s="186" t="s">
        <v>395</v>
      </c>
      <c r="I381" s="186" t="s">
        <v>397</v>
      </c>
      <c r="J381" s="157" t="s">
        <v>71</v>
      </c>
      <c r="K381" s="216">
        <f>K382</f>
        <v>0</v>
      </c>
      <c r="L381" s="216">
        <f t="shared" si="141"/>
        <v>0</v>
      </c>
      <c r="M381" s="216">
        <f t="shared" si="141"/>
        <v>0</v>
      </c>
      <c r="N381" s="213"/>
      <c r="O381" s="213"/>
      <c r="P381" s="213"/>
      <c r="Q381" s="213"/>
      <c r="R381" s="213"/>
      <c r="S381" s="213"/>
    </row>
    <row r="382" spans="2:19" s="214" customFormat="1" ht="46.8" hidden="1">
      <c r="B382" s="176" t="s">
        <v>72</v>
      </c>
      <c r="C382" s="157" t="s">
        <v>117</v>
      </c>
      <c r="D382" s="157" t="s">
        <v>90</v>
      </c>
      <c r="E382" s="157" t="s">
        <v>86</v>
      </c>
      <c r="F382" s="186" t="s">
        <v>279</v>
      </c>
      <c r="G382" s="186" t="s">
        <v>143</v>
      </c>
      <c r="H382" s="186" t="s">
        <v>395</v>
      </c>
      <c r="I382" s="186" t="s">
        <v>397</v>
      </c>
      <c r="J382" s="157" t="s">
        <v>73</v>
      </c>
      <c r="K382" s="216"/>
      <c r="L382" s="216"/>
      <c r="M382" s="216"/>
      <c r="N382" s="213"/>
      <c r="O382" s="213"/>
      <c r="P382" s="213"/>
      <c r="Q382" s="213"/>
      <c r="R382" s="213"/>
      <c r="S382" s="213"/>
    </row>
    <row r="383" spans="2:19" s="214" customFormat="1" ht="15.6" hidden="1">
      <c r="B383" s="176" t="s">
        <v>256</v>
      </c>
      <c r="C383" s="157" t="s">
        <v>117</v>
      </c>
      <c r="D383" s="157" t="s">
        <v>90</v>
      </c>
      <c r="E383" s="157" t="s">
        <v>86</v>
      </c>
      <c r="F383" s="157" t="s">
        <v>279</v>
      </c>
      <c r="G383" s="157" t="s">
        <v>143</v>
      </c>
      <c r="H383" s="157" t="s">
        <v>395</v>
      </c>
      <c r="I383" s="157" t="s">
        <v>257</v>
      </c>
      <c r="J383" s="157"/>
      <c r="K383" s="216">
        <f>K384</f>
        <v>0</v>
      </c>
      <c r="L383" s="216">
        <f t="shared" ref="L383:M384" si="142">L384</f>
        <v>0</v>
      </c>
      <c r="M383" s="216">
        <f t="shared" si="142"/>
        <v>0</v>
      </c>
      <c r="N383" s="213"/>
      <c r="O383" s="213"/>
      <c r="P383" s="213"/>
      <c r="Q383" s="213"/>
      <c r="R383" s="213"/>
      <c r="S383" s="213"/>
    </row>
    <row r="384" spans="2:19" s="214" customFormat="1" ht="46.8" hidden="1">
      <c r="B384" s="176" t="s">
        <v>199</v>
      </c>
      <c r="C384" s="157" t="s">
        <v>117</v>
      </c>
      <c r="D384" s="157" t="s">
        <v>90</v>
      </c>
      <c r="E384" s="157" t="s">
        <v>86</v>
      </c>
      <c r="F384" s="157" t="s">
        <v>279</v>
      </c>
      <c r="G384" s="157" t="s">
        <v>143</v>
      </c>
      <c r="H384" s="157" t="s">
        <v>395</v>
      </c>
      <c r="I384" s="157" t="s">
        <v>257</v>
      </c>
      <c r="J384" s="157" t="s">
        <v>71</v>
      </c>
      <c r="K384" s="216">
        <f>K385</f>
        <v>0</v>
      </c>
      <c r="L384" s="216">
        <f t="shared" si="142"/>
        <v>0</v>
      </c>
      <c r="M384" s="216">
        <f t="shared" si="142"/>
        <v>0</v>
      </c>
      <c r="N384" s="213"/>
      <c r="O384" s="213"/>
      <c r="P384" s="213"/>
      <c r="Q384" s="213"/>
      <c r="R384" s="213"/>
      <c r="S384" s="213"/>
    </row>
    <row r="385" spans="2:19" s="214" customFormat="1" ht="46.8" hidden="1">
      <c r="B385" s="176" t="s">
        <v>72</v>
      </c>
      <c r="C385" s="157" t="s">
        <v>117</v>
      </c>
      <c r="D385" s="157" t="s">
        <v>90</v>
      </c>
      <c r="E385" s="157" t="s">
        <v>86</v>
      </c>
      <c r="F385" s="157" t="s">
        <v>279</v>
      </c>
      <c r="G385" s="157" t="s">
        <v>143</v>
      </c>
      <c r="H385" s="157" t="s">
        <v>395</v>
      </c>
      <c r="I385" s="157" t="s">
        <v>257</v>
      </c>
      <c r="J385" s="157" t="s">
        <v>73</v>
      </c>
      <c r="K385" s="216"/>
      <c r="L385" s="216"/>
      <c r="M385" s="216"/>
      <c r="N385" s="213"/>
      <c r="O385" s="213"/>
      <c r="P385" s="213"/>
      <c r="Q385" s="213"/>
      <c r="R385" s="213"/>
      <c r="S385" s="213"/>
    </row>
    <row r="386" spans="2:19" s="214" customFormat="1" ht="31.2" hidden="1">
      <c r="B386" s="176" t="s">
        <v>398</v>
      </c>
      <c r="C386" s="157" t="s">
        <v>117</v>
      </c>
      <c r="D386" s="157" t="s">
        <v>90</v>
      </c>
      <c r="E386" s="157" t="s">
        <v>86</v>
      </c>
      <c r="F386" s="186" t="s">
        <v>279</v>
      </c>
      <c r="G386" s="186" t="s">
        <v>143</v>
      </c>
      <c r="H386" s="157" t="s">
        <v>399</v>
      </c>
      <c r="I386" s="186" t="s">
        <v>145</v>
      </c>
      <c r="J386" s="157"/>
      <c r="K386" s="216">
        <f>K387+K390+K393+K396+K399+K402+K405</f>
        <v>0</v>
      </c>
      <c r="L386" s="216">
        <f t="shared" ref="L386:M386" si="143">L387+L390+L393+L396+L399+L402+L405</f>
        <v>0</v>
      </c>
      <c r="M386" s="216">
        <f t="shared" si="143"/>
        <v>0</v>
      </c>
      <c r="N386" s="213"/>
      <c r="O386" s="213"/>
      <c r="P386" s="213"/>
      <c r="Q386" s="213"/>
      <c r="R386" s="213"/>
      <c r="S386" s="213"/>
    </row>
    <row r="387" spans="2:19" s="214" customFormat="1" ht="15.6" hidden="1">
      <c r="B387" s="176" t="s">
        <v>400</v>
      </c>
      <c r="C387" s="157" t="s">
        <v>117</v>
      </c>
      <c r="D387" s="157" t="s">
        <v>90</v>
      </c>
      <c r="E387" s="157" t="s">
        <v>86</v>
      </c>
      <c r="F387" s="186" t="s">
        <v>279</v>
      </c>
      <c r="G387" s="186" t="s">
        <v>143</v>
      </c>
      <c r="H387" s="186" t="s">
        <v>399</v>
      </c>
      <c r="I387" s="186" t="s">
        <v>401</v>
      </c>
      <c r="J387" s="157"/>
      <c r="K387" s="216">
        <f>K388</f>
        <v>0</v>
      </c>
      <c r="L387" s="216">
        <f t="shared" ref="L387:M388" si="144">L388</f>
        <v>0</v>
      </c>
      <c r="M387" s="216">
        <f t="shared" si="144"/>
        <v>0</v>
      </c>
      <c r="N387" s="213"/>
      <c r="O387" s="213"/>
      <c r="P387" s="213"/>
      <c r="Q387" s="213"/>
      <c r="R387" s="213"/>
      <c r="S387" s="213"/>
    </row>
    <row r="388" spans="2:19" s="214" customFormat="1" ht="46.8" hidden="1">
      <c r="B388" s="176" t="s">
        <v>199</v>
      </c>
      <c r="C388" s="157" t="s">
        <v>117</v>
      </c>
      <c r="D388" s="157" t="s">
        <v>90</v>
      </c>
      <c r="E388" s="157" t="s">
        <v>86</v>
      </c>
      <c r="F388" s="186" t="s">
        <v>279</v>
      </c>
      <c r="G388" s="186" t="s">
        <v>143</v>
      </c>
      <c r="H388" s="186" t="s">
        <v>399</v>
      </c>
      <c r="I388" s="186" t="s">
        <v>401</v>
      </c>
      <c r="J388" s="157" t="s">
        <v>71</v>
      </c>
      <c r="K388" s="216">
        <f>K389</f>
        <v>0</v>
      </c>
      <c r="L388" s="216">
        <f t="shared" si="144"/>
        <v>0</v>
      </c>
      <c r="M388" s="216">
        <f t="shared" si="144"/>
        <v>0</v>
      </c>
      <c r="N388" s="213"/>
      <c r="O388" s="213"/>
      <c r="P388" s="213"/>
      <c r="Q388" s="213"/>
      <c r="R388" s="213"/>
      <c r="S388" s="213"/>
    </row>
    <row r="389" spans="2:19" s="214" customFormat="1" ht="46.8" hidden="1">
      <c r="B389" s="176" t="s">
        <v>72</v>
      </c>
      <c r="C389" s="157" t="s">
        <v>117</v>
      </c>
      <c r="D389" s="157" t="s">
        <v>90</v>
      </c>
      <c r="E389" s="157" t="s">
        <v>86</v>
      </c>
      <c r="F389" s="186" t="s">
        <v>279</v>
      </c>
      <c r="G389" s="186" t="s">
        <v>143</v>
      </c>
      <c r="H389" s="186" t="s">
        <v>399</v>
      </c>
      <c r="I389" s="186" t="s">
        <v>401</v>
      </c>
      <c r="J389" s="157" t="s">
        <v>73</v>
      </c>
      <c r="K389" s="216"/>
      <c r="L389" s="216"/>
      <c r="M389" s="216"/>
      <c r="N389" s="213"/>
      <c r="O389" s="213"/>
      <c r="P389" s="213"/>
      <c r="Q389" s="213"/>
      <c r="R389" s="213"/>
      <c r="S389" s="213"/>
    </row>
    <row r="390" spans="2:19" s="214" customFormat="1" ht="31.2" hidden="1">
      <c r="B390" s="176" t="s">
        <v>402</v>
      </c>
      <c r="C390" s="157" t="s">
        <v>117</v>
      </c>
      <c r="D390" s="157" t="s">
        <v>90</v>
      </c>
      <c r="E390" s="157" t="s">
        <v>86</v>
      </c>
      <c r="F390" s="186" t="s">
        <v>279</v>
      </c>
      <c r="G390" s="186" t="s">
        <v>143</v>
      </c>
      <c r="H390" s="186" t="s">
        <v>399</v>
      </c>
      <c r="I390" s="186" t="s">
        <v>403</v>
      </c>
      <c r="J390" s="157"/>
      <c r="K390" s="216">
        <f>K391</f>
        <v>0</v>
      </c>
      <c r="L390" s="216">
        <f t="shared" ref="L390:M391" si="145">L391</f>
        <v>0</v>
      </c>
      <c r="M390" s="216">
        <f t="shared" si="145"/>
        <v>0</v>
      </c>
      <c r="N390" s="213"/>
      <c r="O390" s="213"/>
      <c r="P390" s="213"/>
      <c r="Q390" s="213"/>
      <c r="R390" s="213"/>
      <c r="S390" s="213"/>
    </row>
    <row r="391" spans="2:19" s="214" customFormat="1" ht="46.8" hidden="1">
      <c r="B391" s="176" t="s">
        <v>199</v>
      </c>
      <c r="C391" s="157" t="s">
        <v>117</v>
      </c>
      <c r="D391" s="157" t="s">
        <v>90</v>
      </c>
      <c r="E391" s="157" t="s">
        <v>86</v>
      </c>
      <c r="F391" s="186" t="s">
        <v>279</v>
      </c>
      <c r="G391" s="186" t="s">
        <v>143</v>
      </c>
      <c r="H391" s="186" t="s">
        <v>399</v>
      </c>
      <c r="I391" s="186" t="s">
        <v>403</v>
      </c>
      <c r="J391" s="157" t="s">
        <v>71</v>
      </c>
      <c r="K391" s="216">
        <f>K392</f>
        <v>0</v>
      </c>
      <c r="L391" s="216">
        <f t="shared" si="145"/>
        <v>0</v>
      </c>
      <c r="M391" s="216">
        <f t="shared" si="145"/>
        <v>0</v>
      </c>
      <c r="N391" s="213"/>
      <c r="O391" s="213"/>
      <c r="P391" s="213"/>
      <c r="Q391" s="213"/>
      <c r="R391" s="213"/>
      <c r="S391" s="213"/>
    </row>
    <row r="392" spans="2:19" s="214" customFormat="1" ht="46.8" hidden="1">
      <c r="B392" s="176" t="s">
        <v>72</v>
      </c>
      <c r="C392" s="157" t="s">
        <v>117</v>
      </c>
      <c r="D392" s="157" t="s">
        <v>90</v>
      </c>
      <c r="E392" s="157" t="s">
        <v>86</v>
      </c>
      <c r="F392" s="186" t="s">
        <v>279</v>
      </c>
      <c r="G392" s="186" t="s">
        <v>143</v>
      </c>
      <c r="H392" s="186" t="s">
        <v>399</v>
      </c>
      <c r="I392" s="186" t="s">
        <v>403</v>
      </c>
      <c r="J392" s="157" t="s">
        <v>73</v>
      </c>
      <c r="K392" s="216"/>
      <c r="L392" s="216"/>
      <c r="M392" s="216"/>
      <c r="N392" s="213"/>
      <c r="O392" s="213"/>
      <c r="P392" s="213"/>
      <c r="Q392" s="213"/>
      <c r="R392" s="213"/>
      <c r="S392" s="213"/>
    </row>
    <row r="393" spans="2:19" s="214" customFormat="1" ht="31.2" hidden="1">
      <c r="B393" s="176" t="s">
        <v>404</v>
      </c>
      <c r="C393" s="157" t="s">
        <v>117</v>
      </c>
      <c r="D393" s="157" t="s">
        <v>90</v>
      </c>
      <c r="E393" s="157" t="s">
        <v>86</v>
      </c>
      <c r="F393" s="186" t="s">
        <v>279</v>
      </c>
      <c r="G393" s="186" t="s">
        <v>143</v>
      </c>
      <c r="H393" s="186" t="s">
        <v>399</v>
      </c>
      <c r="I393" s="186" t="s">
        <v>405</v>
      </c>
      <c r="J393" s="157"/>
      <c r="K393" s="216">
        <f>K394</f>
        <v>0</v>
      </c>
      <c r="L393" s="216">
        <f t="shared" ref="L393:M394" si="146">L394</f>
        <v>0</v>
      </c>
      <c r="M393" s="216">
        <f t="shared" si="146"/>
        <v>0</v>
      </c>
      <c r="N393" s="213"/>
      <c r="O393" s="213"/>
      <c r="P393" s="213"/>
      <c r="Q393" s="213"/>
      <c r="R393" s="213"/>
      <c r="S393" s="213"/>
    </row>
    <row r="394" spans="2:19" s="214" customFormat="1" ht="46.8" hidden="1">
      <c r="B394" s="176" t="s">
        <v>199</v>
      </c>
      <c r="C394" s="157" t="s">
        <v>117</v>
      </c>
      <c r="D394" s="157" t="s">
        <v>90</v>
      </c>
      <c r="E394" s="157" t="s">
        <v>86</v>
      </c>
      <c r="F394" s="186" t="s">
        <v>279</v>
      </c>
      <c r="G394" s="186" t="s">
        <v>143</v>
      </c>
      <c r="H394" s="186" t="s">
        <v>399</v>
      </c>
      <c r="I394" s="186" t="s">
        <v>405</v>
      </c>
      <c r="J394" s="157" t="s">
        <v>71</v>
      </c>
      <c r="K394" s="216">
        <f>K395</f>
        <v>0</v>
      </c>
      <c r="L394" s="216">
        <f t="shared" si="146"/>
        <v>0</v>
      </c>
      <c r="M394" s="216">
        <f t="shared" si="146"/>
        <v>0</v>
      </c>
      <c r="N394" s="213"/>
      <c r="O394" s="213"/>
      <c r="P394" s="213"/>
      <c r="Q394" s="213"/>
      <c r="R394" s="213"/>
      <c r="S394" s="213"/>
    </row>
    <row r="395" spans="2:19" s="214" customFormat="1" ht="46.8" hidden="1">
      <c r="B395" s="176" t="s">
        <v>72</v>
      </c>
      <c r="C395" s="157" t="s">
        <v>117</v>
      </c>
      <c r="D395" s="157" t="s">
        <v>90</v>
      </c>
      <c r="E395" s="157" t="s">
        <v>86</v>
      </c>
      <c r="F395" s="186" t="s">
        <v>279</v>
      </c>
      <c r="G395" s="186" t="s">
        <v>143</v>
      </c>
      <c r="H395" s="186" t="s">
        <v>399</v>
      </c>
      <c r="I395" s="186" t="s">
        <v>405</v>
      </c>
      <c r="J395" s="157" t="s">
        <v>73</v>
      </c>
      <c r="K395" s="216"/>
      <c r="L395" s="216"/>
      <c r="M395" s="216"/>
      <c r="N395" s="213"/>
      <c r="O395" s="213"/>
      <c r="P395" s="213"/>
      <c r="Q395" s="213"/>
      <c r="R395" s="213"/>
      <c r="S395" s="213"/>
    </row>
    <row r="396" spans="2:19" s="214" customFormat="1" ht="46.8" hidden="1">
      <c r="B396" s="176" t="s">
        <v>406</v>
      </c>
      <c r="C396" s="157" t="s">
        <v>117</v>
      </c>
      <c r="D396" s="157" t="s">
        <v>90</v>
      </c>
      <c r="E396" s="157" t="s">
        <v>86</v>
      </c>
      <c r="F396" s="186" t="s">
        <v>279</v>
      </c>
      <c r="G396" s="186" t="s">
        <v>143</v>
      </c>
      <c r="H396" s="186" t="s">
        <v>399</v>
      </c>
      <c r="I396" s="186" t="s">
        <v>407</v>
      </c>
      <c r="J396" s="157"/>
      <c r="K396" s="216">
        <f>K397</f>
        <v>0</v>
      </c>
      <c r="L396" s="216">
        <f t="shared" ref="L396:M397" si="147">L397</f>
        <v>0</v>
      </c>
      <c r="M396" s="216">
        <f t="shared" si="147"/>
        <v>0</v>
      </c>
      <c r="N396" s="213"/>
      <c r="O396" s="213"/>
      <c r="P396" s="213"/>
      <c r="Q396" s="213"/>
      <c r="R396" s="213"/>
      <c r="S396" s="213"/>
    </row>
    <row r="397" spans="2:19" s="214" customFormat="1" ht="46.8" hidden="1">
      <c r="B397" s="176" t="s">
        <v>199</v>
      </c>
      <c r="C397" s="157" t="s">
        <v>117</v>
      </c>
      <c r="D397" s="157" t="s">
        <v>90</v>
      </c>
      <c r="E397" s="157" t="s">
        <v>86</v>
      </c>
      <c r="F397" s="186" t="s">
        <v>279</v>
      </c>
      <c r="G397" s="186" t="s">
        <v>143</v>
      </c>
      <c r="H397" s="186" t="s">
        <v>399</v>
      </c>
      <c r="I397" s="186" t="s">
        <v>407</v>
      </c>
      <c r="J397" s="157" t="s">
        <v>71</v>
      </c>
      <c r="K397" s="216">
        <f>K398</f>
        <v>0</v>
      </c>
      <c r="L397" s="216">
        <f t="shared" si="147"/>
        <v>0</v>
      </c>
      <c r="M397" s="216">
        <f t="shared" si="147"/>
        <v>0</v>
      </c>
      <c r="N397" s="213"/>
      <c r="O397" s="213"/>
      <c r="P397" s="213"/>
      <c r="Q397" s="213"/>
      <c r="R397" s="213"/>
      <c r="S397" s="213"/>
    </row>
    <row r="398" spans="2:19" s="214" customFormat="1" ht="46.8" hidden="1">
      <c r="B398" s="176" t="s">
        <v>72</v>
      </c>
      <c r="C398" s="157" t="s">
        <v>117</v>
      </c>
      <c r="D398" s="157" t="s">
        <v>90</v>
      </c>
      <c r="E398" s="157" t="s">
        <v>86</v>
      </c>
      <c r="F398" s="186" t="s">
        <v>279</v>
      </c>
      <c r="G398" s="186" t="s">
        <v>143</v>
      </c>
      <c r="H398" s="186" t="s">
        <v>399</v>
      </c>
      <c r="I398" s="186" t="s">
        <v>407</v>
      </c>
      <c r="J398" s="157" t="s">
        <v>73</v>
      </c>
      <c r="K398" s="216"/>
      <c r="L398" s="216"/>
      <c r="M398" s="216"/>
      <c r="N398" s="213"/>
      <c r="O398" s="213"/>
      <c r="P398" s="213"/>
      <c r="Q398" s="213"/>
      <c r="R398" s="213"/>
      <c r="S398" s="213"/>
    </row>
    <row r="399" spans="2:19" s="214" customFormat="1" ht="31.2" hidden="1">
      <c r="B399" s="176" t="s">
        <v>408</v>
      </c>
      <c r="C399" s="157" t="s">
        <v>117</v>
      </c>
      <c r="D399" s="157" t="s">
        <v>90</v>
      </c>
      <c r="E399" s="157" t="s">
        <v>86</v>
      </c>
      <c r="F399" s="186" t="s">
        <v>279</v>
      </c>
      <c r="G399" s="186" t="s">
        <v>143</v>
      </c>
      <c r="H399" s="186" t="s">
        <v>399</v>
      </c>
      <c r="I399" s="186" t="s">
        <v>409</v>
      </c>
      <c r="J399" s="157"/>
      <c r="K399" s="216">
        <f>K400</f>
        <v>0</v>
      </c>
      <c r="L399" s="216">
        <f t="shared" ref="L399:M400" si="148">L400</f>
        <v>0</v>
      </c>
      <c r="M399" s="216">
        <f t="shared" si="148"/>
        <v>0</v>
      </c>
      <c r="N399" s="213"/>
      <c r="O399" s="213"/>
      <c r="P399" s="213"/>
      <c r="Q399" s="213"/>
      <c r="R399" s="213"/>
      <c r="S399" s="213"/>
    </row>
    <row r="400" spans="2:19" s="214" customFormat="1" ht="46.8" hidden="1">
      <c r="B400" s="176" t="s">
        <v>199</v>
      </c>
      <c r="C400" s="157" t="s">
        <v>117</v>
      </c>
      <c r="D400" s="157" t="s">
        <v>90</v>
      </c>
      <c r="E400" s="157" t="s">
        <v>86</v>
      </c>
      <c r="F400" s="186" t="s">
        <v>279</v>
      </c>
      <c r="G400" s="186" t="s">
        <v>143</v>
      </c>
      <c r="H400" s="186" t="s">
        <v>399</v>
      </c>
      <c r="I400" s="186" t="s">
        <v>409</v>
      </c>
      <c r="J400" s="157" t="s">
        <v>71</v>
      </c>
      <c r="K400" s="216">
        <f>K401</f>
        <v>0</v>
      </c>
      <c r="L400" s="216">
        <f t="shared" si="148"/>
        <v>0</v>
      </c>
      <c r="M400" s="216">
        <f t="shared" si="148"/>
        <v>0</v>
      </c>
      <c r="N400" s="213"/>
      <c r="O400" s="213"/>
      <c r="P400" s="213"/>
      <c r="Q400" s="213"/>
      <c r="R400" s="213"/>
      <c r="S400" s="213"/>
    </row>
    <row r="401" spans="2:19" s="214" customFormat="1" ht="46.8" hidden="1">
      <c r="B401" s="176" t="s">
        <v>72</v>
      </c>
      <c r="C401" s="157" t="s">
        <v>117</v>
      </c>
      <c r="D401" s="157" t="s">
        <v>90</v>
      </c>
      <c r="E401" s="157" t="s">
        <v>86</v>
      </c>
      <c r="F401" s="186" t="s">
        <v>279</v>
      </c>
      <c r="G401" s="186" t="s">
        <v>143</v>
      </c>
      <c r="H401" s="186" t="s">
        <v>399</v>
      </c>
      <c r="I401" s="186" t="s">
        <v>409</v>
      </c>
      <c r="J401" s="157" t="s">
        <v>73</v>
      </c>
      <c r="K401" s="216"/>
      <c r="L401" s="216"/>
      <c r="M401" s="216"/>
      <c r="N401" s="213"/>
      <c r="O401" s="213"/>
      <c r="P401" s="213"/>
      <c r="Q401" s="213"/>
      <c r="R401" s="213"/>
      <c r="S401" s="213"/>
    </row>
    <row r="402" spans="2:19" s="214" customFormat="1" ht="31.2" hidden="1">
      <c r="B402" s="176" t="s">
        <v>410</v>
      </c>
      <c r="C402" s="157" t="s">
        <v>117</v>
      </c>
      <c r="D402" s="157" t="s">
        <v>90</v>
      </c>
      <c r="E402" s="157" t="s">
        <v>86</v>
      </c>
      <c r="F402" s="186" t="s">
        <v>279</v>
      </c>
      <c r="G402" s="186" t="s">
        <v>143</v>
      </c>
      <c r="H402" s="186" t="s">
        <v>399</v>
      </c>
      <c r="I402" s="186" t="s">
        <v>411</v>
      </c>
      <c r="J402" s="157"/>
      <c r="K402" s="216">
        <f>K403</f>
        <v>0</v>
      </c>
      <c r="L402" s="216">
        <f t="shared" ref="L402:M403" si="149">L403</f>
        <v>0</v>
      </c>
      <c r="M402" s="216">
        <f t="shared" si="149"/>
        <v>0</v>
      </c>
      <c r="N402" s="213"/>
      <c r="O402" s="213"/>
      <c r="P402" s="213"/>
      <c r="Q402" s="213"/>
      <c r="R402" s="213"/>
      <c r="S402" s="213"/>
    </row>
    <row r="403" spans="2:19" s="214" customFormat="1" ht="46.8" hidden="1">
      <c r="B403" s="176" t="s">
        <v>199</v>
      </c>
      <c r="C403" s="157" t="s">
        <v>117</v>
      </c>
      <c r="D403" s="157" t="s">
        <v>90</v>
      </c>
      <c r="E403" s="157" t="s">
        <v>86</v>
      </c>
      <c r="F403" s="186" t="s">
        <v>279</v>
      </c>
      <c r="G403" s="186" t="s">
        <v>143</v>
      </c>
      <c r="H403" s="186" t="s">
        <v>399</v>
      </c>
      <c r="I403" s="186" t="s">
        <v>411</v>
      </c>
      <c r="J403" s="157" t="s">
        <v>71</v>
      </c>
      <c r="K403" s="216">
        <f>K404</f>
        <v>0</v>
      </c>
      <c r="L403" s="216">
        <f t="shared" si="149"/>
        <v>0</v>
      </c>
      <c r="M403" s="216">
        <f t="shared" si="149"/>
        <v>0</v>
      </c>
      <c r="N403" s="213"/>
      <c r="O403" s="213"/>
      <c r="P403" s="213"/>
      <c r="Q403" s="213"/>
      <c r="R403" s="213"/>
      <c r="S403" s="213"/>
    </row>
    <row r="404" spans="2:19" s="214" customFormat="1" ht="46.8" hidden="1">
      <c r="B404" s="176" t="s">
        <v>72</v>
      </c>
      <c r="C404" s="157" t="s">
        <v>117</v>
      </c>
      <c r="D404" s="157" t="s">
        <v>90</v>
      </c>
      <c r="E404" s="157" t="s">
        <v>86</v>
      </c>
      <c r="F404" s="186" t="s">
        <v>279</v>
      </c>
      <c r="G404" s="186" t="s">
        <v>143</v>
      </c>
      <c r="H404" s="186" t="s">
        <v>399</v>
      </c>
      <c r="I404" s="186" t="s">
        <v>411</v>
      </c>
      <c r="J404" s="157" t="s">
        <v>73</v>
      </c>
      <c r="K404" s="216"/>
      <c r="L404" s="216"/>
      <c r="M404" s="216"/>
      <c r="N404" s="213"/>
      <c r="O404" s="213"/>
      <c r="P404" s="213"/>
      <c r="Q404" s="213"/>
      <c r="R404" s="213"/>
      <c r="S404" s="213"/>
    </row>
    <row r="405" spans="2:19" s="214" customFormat="1" ht="15.6" hidden="1">
      <c r="B405" s="176" t="s">
        <v>256</v>
      </c>
      <c r="C405" s="157" t="s">
        <v>117</v>
      </c>
      <c r="D405" s="157" t="s">
        <v>90</v>
      </c>
      <c r="E405" s="157" t="s">
        <v>86</v>
      </c>
      <c r="F405" s="186" t="s">
        <v>279</v>
      </c>
      <c r="G405" s="186" t="s">
        <v>143</v>
      </c>
      <c r="H405" s="186" t="s">
        <v>399</v>
      </c>
      <c r="I405" s="186" t="s">
        <v>257</v>
      </c>
      <c r="J405" s="157"/>
      <c r="K405" s="216">
        <f>K406</f>
        <v>0</v>
      </c>
      <c r="L405" s="216">
        <f t="shared" ref="L405:M406" si="150">L406</f>
        <v>0</v>
      </c>
      <c r="M405" s="216">
        <f t="shared" si="150"/>
        <v>0</v>
      </c>
      <c r="N405" s="213"/>
      <c r="O405" s="213"/>
      <c r="P405" s="213"/>
      <c r="Q405" s="213"/>
      <c r="R405" s="213"/>
      <c r="S405" s="213"/>
    </row>
    <row r="406" spans="2:19" s="214" customFormat="1" ht="46.8" hidden="1">
      <c r="B406" s="176" t="s">
        <v>199</v>
      </c>
      <c r="C406" s="157" t="s">
        <v>117</v>
      </c>
      <c r="D406" s="157" t="s">
        <v>90</v>
      </c>
      <c r="E406" s="157" t="s">
        <v>86</v>
      </c>
      <c r="F406" s="186" t="s">
        <v>279</v>
      </c>
      <c r="G406" s="186" t="s">
        <v>143</v>
      </c>
      <c r="H406" s="186" t="s">
        <v>399</v>
      </c>
      <c r="I406" s="186" t="s">
        <v>257</v>
      </c>
      <c r="J406" s="157" t="s">
        <v>71</v>
      </c>
      <c r="K406" s="216">
        <f>K407</f>
        <v>0</v>
      </c>
      <c r="L406" s="216">
        <f t="shared" si="150"/>
        <v>0</v>
      </c>
      <c r="M406" s="216">
        <f t="shared" si="150"/>
        <v>0</v>
      </c>
      <c r="N406" s="213"/>
      <c r="O406" s="213"/>
      <c r="P406" s="213"/>
      <c r="Q406" s="213"/>
      <c r="R406" s="213"/>
      <c r="S406" s="213"/>
    </row>
    <row r="407" spans="2:19" s="214" customFormat="1" ht="46.8" hidden="1">
      <c r="B407" s="176" t="s">
        <v>72</v>
      </c>
      <c r="C407" s="157" t="s">
        <v>117</v>
      </c>
      <c r="D407" s="157" t="s">
        <v>90</v>
      </c>
      <c r="E407" s="157" t="s">
        <v>86</v>
      </c>
      <c r="F407" s="186" t="s">
        <v>279</v>
      </c>
      <c r="G407" s="186" t="s">
        <v>143</v>
      </c>
      <c r="H407" s="186" t="s">
        <v>399</v>
      </c>
      <c r="I407" s="186" t="s">
        <v>257</v>
      </c>
      <c r="J407" s="157" t="s">
        <v>73</v>
      </c>
      <c r="K407" s="216"/>
      <c r="L407" s="216"/>
      <c r="M407" s="216"/>
      <c r="N407" s="213"/>
      <c r="O407" s="213"/>
      <c r="P407" s="213"/>
      <c r="Q407" s="213"/>
      <c r="R407" s="213"/>
      <c r="S407" s="213"/>
    </row>
    <row r="408" spans="2:19" s="214" customFormat="1" ht="31.2" hidden="1">
      <c r="B408" s="176" t="s">
        <v>412</v>
      </c>
      <c r="C408" s="157" t="s">
        <v>117</v>
      </c>
      <c r="D408" s="157" t="s">
        <v>90</v>
      </c>
      <c r="E408" s="157" t="s">
        <v>86</v>
      </c>
      <c r="F408" s="186" t="s">
        <v>279</v>
      </c>
      <c r="G408" s="186" t="s">
        <v>143</v>
      </c>
      <c r="H408" s="157" t="s">
        <v>413</v>
      </c>
      <c r="I408" s="186" t="s">
        <v>145</v>
      </c>
      <c r="J408" s="157"/>
      <c r="K408" s="216">
        <f>K409+K412+K415+K418+K421</f>
        <v>0</v>
      </c>
      <c r="L408" s="216">
        <f t="shared" ref="L408:M408" si="151">L409+L412+L415+L418+L421</f>
        <v>0</v>
      </c>
      <c r="M408" s="216">
        <f t="shared" si="151"/>
        <v>0</v>
      </c>
      <c r="N408" s="213"/>
      <c r="O408" s="213"/>
      <c r="P408" s="213"/>
      <c r="Q408" s="213"/>
      <c r="R408" s="213"/>
      <c r="S408" s="213"/>
    </row>
    <row r="409" spans="2:19" s="214" customFormat="1" ht="15.6" hidden="1">
      <c r="B409" s="176" t="s">
        <v>414</v>
      </c>
      <c r="C409" s="157" t="s">
        <v>117</v>
      </c>
      <c r="D409" s="157" t="s">
        <v>90</v>
      </c>
      <c r="E409" s="157" t="s">
        <v>86</v>
      </c>
      <c r="F409" s="186" t="s">
        <v>279</v>
      </c>
      <c r="G409" s="186" t="s">
        <v>143</v>
      </c>
      <c r="H409" s="186" t="s">
        <v>413</v>
      </c>
      <c r="I409" s="186" t="s">
        <v>415</v>
      </c>
      <c r="J409" s="157"/>
      <c r="K409" s="216">
        <f>K410</f>
        <v>0</v>
      </c>
      <c r="L409" s="216">
        <f t="shared" ref="L409:M410" si="152">L410</f>
        <v>0</v>
      </c>
      <c r="M409" s="216">
        <f t="shared" si="152"/>
        <v>0</v>
      </c>
      <c r="N409" s="213"/>
      <c r="O409" s="213"/>
      <c r="P409" s="213"/>
      <c r="Q409" s="213"/>
      <c r="R409" s="213"/>
      <c r="S409" s="213"/>
    </row>
    <row r="410" spans="2:19" s="214" customFormat="1" ht="46.8" hidden="1">
      <c r="B410" s="176" t="s">
        <v>199</v>
      </c>
      <c r="C410" s="157" t="s">
        <v>117</v>
      </c>
      <c r="D410" s="157" t="s">
        <v>90</v>
      </c>
      <c r="E410" s="157" t="s">
        <v>86</v>
      </c>
      <c r="F410" s="186" t="s">
        <v>279</v>
      </c>
      <c r="G410" s="186" t="s">
        <v>143</v>
      </c>
      <c r="H410" s="186" t="s">
        <v>413</v>
      </c>
      <c r="I410" s="186" t="s">
        <v>415</v>
      </c>
      <c r="J410" s="157" t="s">
        <v>71</v>
      </c>
      <c r="K410" s="216">
        <f>K411</f>
        <v>0</v>
      </c>
      <c r="L410" s="216">
        <f t="shared" si="152"/>
        <v>0</v>
      </c>
      <c r="M410" s="216">
        <f t="shared" si="152"/>
        <v>0</v>
      </c>
      <c r="N410" s="213"/>
      <c r="O410" s="213"/>
      <c r="P410" s="213"/>
      <c r="Q410" s="213"/>
      <c r="R410" s="213"/>
      <c r="S410" s="213"/>
    </row>
    <row r="411" spans="2:19" s="214" customFormat="1" ht="46.8" hidden="1">
      <c r="B411" s="176" t="s">
        <v>72</v>
      </c>
      <c r="C411" s="157" t="s">
        <v>117</v>
      </c>
      <c r="D411" s="157" t="s">
        <v>90</v>
      </c>
      <c r="E411" s="157" t="s">
        <v>86</v>
      </c>
      <c r="F411" s="186" t="s">
        <v>279</v>
      </c>
      <c r="G411" s="186" t="s">
        <v>143</v>
      </c>
      <c r="H411" s="186" t="s">
        <v>413</v>
      </c>
      <c r="I411" s="186" t="s">
        <v>415</v>
      </c>
      <c r="J411" s="157" t="s">
        <v>73</v>
      </c>
      <c r="K411" s="216"/>
      <c r="L411" s="216"/>
      <c r="M411" s="216"/>
      <c r="N411" s="213"/>
      <c r="O411" s="213"/>
      <c r="P411" s="213"/>
      <c r="Q411" s="213"/>
      <c r="R411" s="213"/>
      <c r="S411" s="213"/>
    </row>
    <row r="412" spans="2:19" s="214" customFormat="1" ht="31.2" hidden="1">
      <c r="B412" s="176" t="s">
        <v>416</v>
      </c>
      <c r="C412" s="157" t="s">
        <v>117</v>
      </c>
      <c r="D412" s="157" t="s">
        <v>90</v>
      </c>
      <c r="E412" s="157" t="s">
        <v>86</v>
      </c>
      <c r="F412" s="186" t="s">
        <v>279</v>
      </c>
      <c r="G412" s="186" t="s">
        <v>143</v>
      </c>
      <c r="H412" s="186" t="s">
        <v>413</v>
      </c>
      <c r="I412" s="186" t="s">
        <v>417</v>
      </c>
      <c r="J412" s="157"/>
      <c r="K412" s="216">
        <f>K413</f>
        <v>0</v>
      </c>
      <c r="L412" s="216">
        <f t="shared" ref="L412:M413" si="153">L413</f>
        <v>0</v>
      </c>
      <c r="M412" s="216">
        <f t="shared" si="153"/>
        <v>0</v>
      </c>
      <c r="N412" s="213"/>
      <c r="O412" s="213"/>
      <c r="P412" s="213"/>
      <c r="Q412" s="213"/>
      <c r="R412" s="213"/>
      <c r="S412" s="213"/>
    </row>
    <row r="413" spans="2:19" s="214" customFormat="1" ht="46.8" hidden="1">
      <c r="B413" s="176" t="s">
        <v>199</v>
      </c>
      <c r="C413" s="157" t="s">
        <v>117</v>
      </c>
      <c r="D413" s="157" t="s">
        <v>90</v>
      </c>
      <c r="E413" s="157" t="s">
        <v>86</v>
      </c>
      <c r="F413" s="186" t="s">
        <v>279</v>
      </c>
      <c r="G413" s="186" t="s">
        <v>143</v>
      </c>
      <c r="H413" s="186" t="s">
        <v>413</v>
      </c>
      <c r="I413" s="186" t="s">
        <v>417</v>
      </c>
      <c r="J413" s="157" t="s">
        <v>71</v>
      </c>
      <c r="K413" s="216">
        <f>K414</f>
        <v>0</v>
      </c>
      <c r="L413" s="216">
        <f t="shared" si="153"/>
        <v>0</v>
      </c>
      <c r="M413" s="216">
        <f t="shared" si="153"/>
        <v>0</v>
      </c>
      <c r="N413" s="213"/>
      <c r="O413" s="213"/>
      <c r="P413" s="213"/>
      <c r="Q413" s="213"/>
      <c r="R413" s="213"/>
      <c r="S413" s="213"/>
    </row>
    <row r="414" spans="2:19" s="214" customFormat="1" ht="46.8" hidden="1">
      <c r="B414" s="176" t="s">
        <v>72</v>
      </c>
      <c r="C414" s="157" t="s">
        <v>117</v>
      </c>
      <c r="D414" s="157" t="s">
        <v>90</v>
      </c>
      <c r="E414" s="157" t="s">
        <v>86</v>
      </c>
      <c r="F414" s="186" t="s">
        <v>279</v>
      </c>
      <c r="G414" s="186" t="s">
        <v>143</v>
      </c>
      <c r="H414" s="186" t="s">
        <v>413</v>
      </c>
      <c r="I414" s="186" t="s">
        <v>417</v>
      </c>
      <c r="J414" s="157" t="s">
        <v>73</v>
      </c>
      <c r="K414" s="216"/>
      <c r="L414" s="216"/>
      <c r="M414" s="216"/>
      <c r="N414" s="213"/>
      <c r="O414" s="213"/>
      <c r="P414" s="213"/>
      <c r="Q414" s="213"/>
      <c r="R414" s="213"/>
      <c r="S414" s="213"/>
    </row>
    <row r="415" spans="2:19" s="214" customFormat="1" ht="46.8" hidden="1">
      <c r="B415" s="176" t="s">
        <v>418</v>
      </c>
      <c r="C415" s="157" t="s">
        <v>117</v>
      </c>
      <c r="D415" s="157" t="s">
        <v>90</v>
      </c>
      <c r="E415" s="157" t="s">
        <v>86</v>
      </c>
      <c r="F415" s="186" t="s">
        <v>279</v>
      </c>
      <c r="G415" s="186" t="s">
        <v>143</v>
      </c>
      <c r="H415" s="186" t="s">
        <v>413</v>
      </c>
      <c r="I415" s="186" t="s">
        <v>419</v>
      </c>
      <c r="J415" s="157"/>
      <c r="K415" s="216">
        <f>K416</f>
        <v>0</v>
      </c>
      <c r="L415" s="216">
        <f t="shared" ref="L415:M416" si="154">L416</f>
        <v>0</v>
      </c>
      <c r="M415" s="216">
        <f t="shared" si="154"/>
        <v>0</v>
      </c>
      <c r="N415" s="213"/>
      <c r="O415" s="213"/>
      <c r="P415" s="213"/>
      <c r="Q415" s="213"/>
      <c r="R415" s="213"/>
      <c r="S415" s="213"/>
    </row>
    <row r="416" spans="2:19" s="214" customFormat="1" ht="46.8" hidden="1">
      <c r="B416" s="176" t="s">
        <v>199</v>
      </c>
      <c r="C416" s="157" t="s">
        <v>117</v>
      </c>
      <c r="D416" s="157" t="s">
        <v>90</v>
      </c>
      <c r="E416" s="157" t="s">
        <v>86</v>
      </c>
      <c r="F416" s="186" t="s">
        <v>279</v>
      </c>
      <c r="G416" s="186" t="s">
        <v>143</v>
      </c>
      <c r="H416" s="186" t="s">
        <v>413</v>
      </c>
      <c r="I416" s="186" t="s">
        <v>419</v>
      </c>
      <c r="J416" s="157" t="s">
        <v>71</v>
      </c>
      <c r="K416" s="216">
        <f>K417</f>
        <v>0</v>
      </c>
      <c r="L416" s="216">
        <f t="shared" si="154"/>
        <v>0</v>
      </c>
      <c r="M416" s="216">
        <f t="shared" si="154"/>
        <v>0</v>
      </c>
      <c r="N416" s="213"/>
      <c r="O416" s="213"/>
      <c r="P416" s="213"/>
      <c r="Q416" s="213"/>
      <c r="R416" s="213"/>
      <c r="S416" s="213"/>
    </row>
    <row r="417" spans="2:19" s="214" customFormat="1" ht="46.8" hidden="1">
      <c r="B417" s="176" t="s">
        <v>72</v>
      </c>
      <c r="C417" s="157" t="s">
        <v>117</v>
      </c>
      <c r="D417" s="157" t="s">
        <v>90</v>
      </c>
      <c r="E417" s="157" t="s">
        <v>86</v>
      </c>
      <c r="F417" s="186" t="s">
        <v>279</v>
      </c>
      <c r="G417" s="186" t="s">
        <v>143</v>
      </c>
      <c r="H417" s="186" t="s">
        <v>413</v>
      </c>
      <c r="I417" s="186" t="s">
        <v>419</v>
      </c>
      <c r="J417" s="157" t="s">
        <v>73</v>
      </c>
      <c r="K417" s="216"/>
      <c r="L417" s="216"/>
      <c r="M417" s="216"/>
      <c r="N417" s="213"/>
      <c r="O417" s="213"/>
      <c r="P417" s="213"/>
      <c r="Q417" s="213"/>
      <c r="R417" s="213"/>
      <c r="S417" s="213"/>
    </row>
    <row r="418" spans="2:19" s="214" customFormat="1" ht="31.2" hidden="1">
      <c r="B418" s="176" t="s">
        <v>420</v>
      </c>
      <c r="C418" s="157" t="s">
        <v>117</v>
      </c>
      <c r="D418" s="157" t="s">
        <v>90</v>
      </c>
      <c r="E418" s="157" t="s">
        <v>86</v>
      </c>
      <c r="F418" s="186" t="s">
        <v>279</v>
      </c>
      <c r="G418" s="186" t="s">
        <v>143</v>
      </c>
      <c r="H418" s="186" t="s">
        <v>413</v>
      </c>
      <c r="I418" s="186" t="s">
        <v>421</v>
      </c>
      <c r="J418" s="157"/>
      <c r="K418" s="216">
        <f>K419</f>
        <v>0</v>
      </c>
      <c r="L418" s="216">
        <f t="shared" ref="L418:M419" si="155">L419</f>
        <v>0</v>
      </c>
      <c r="M418" s="216">
        <f t="shared" si="155"/>
        <v>0</v>
      </c>
      <c r="N418" s="213"/>
      <c r="O418" s="213"/>
      <c r="P418" s="213"/>
      <c r="Q418" s="213"/>
      <c r="R418" s="213"/>
      <c r="S418" s="213"/>
    </row>
    <row r="419" spans="2:19" s="214" customFormat="1" ht="46.8" hidden="1">
      <c r="B419" s="176" t="s">
        <v>199</v>
      </c>
      <c r="C419" s="157" t="s">
        <v>117</v>
      </c>
      <c r="D419" s="157" t="s">
        <v>90</v>
      </c>
      <c r="E419" s="157" t="s">
        <v>86</v>
      </c>
      <c r="F419" s="186" t="s">
        <v>279</v>
      </c>
      <c r="G419" s="186" t="s">
        <v>143</v>
      </c>
      <c r="H419" s="186" t="s">
        <v>413</v>
      </c>
      <c r="I419" s="186" t="s">
        <v>421</v>
      </c>
      <c r="J419" s="157" t="s">
        <v>71</v>
      </c>
      <c r="K419" s="216">
        <f>K420</f>
        <v>0</v>
      </c>
      <c r="L419" s="216">
        <f t="shared" si="155"/>
        <v>0</v>
      </c>
      <c r="M419" s="216">
        <f t="shared" si="155"/>
        <v>0</v>
      </c>
      <c r="N419" s="213"/>
      <c r="O419" s="213"/>
      <c r="P419" s="213"/>
      <c r="Q419" s="213"/>
      <c r="R419" s="213"/>
      <c r="S419" s="213"/>
    </row>
    <row r="420" spans="2:19" s="214" customFormat="1" ht="46.8" hidden="1">
      <c r="B420" s="176" t="s">
        <v>72</v>
      </c>
      <c r="C420" s="157" t="s">
        <v>117</v>
      </c>
      <c r="D420" s="157" t="s">
        <v>90</v>
      </c>
      <c r="E420" s="157" t="s">
        <v>86</v>
      </c>
      <c r="F420" s="186" t="s">
        <v>279</v>
      </c>
      <c r="G420" s="186" t="s">
        <v>143</v>
      </c>
      <c r="H420" s="186" t="s">
        <v>413</v>
      </c>
      <c r="I420" s="186" t="s">
        <v>421</v>
      </c>
      <c r="J420" s="157" t="s">
        <v>73</v>
      </c>
      <c r="K420" s="216"/>
      <c r="L420" s="216"/>
      <c r="M420" s="216"/>
      <c r="N420" s="213"/>
      <c r="O420" s="213"/>
      <c r="P420" s="213"/>
      <c r="Q420" s="213"/>
      <c r="R420" s="213"/>
      <c r="S420" s="213"/>
    </row>
    <row r="421" spans="2:19" s="214" customFormat="1" ht="15.6" hidden="1">
      <c r="B421" s="176" t="s">
        <v>256</v>
      </c>
      <c r="C421" s="157" t="s">
        <v>117</v>
      </c>
      <c r="D421" s="157" t="s">
        <v>90</v>
      </c>
      <c r="E421" s="157" t="s">
        <v>86</v>
      </c>
      <c r="F421" s="186" t="s">
        <v>279</v>
      </c>
      <c r="G421" s="186" t="s">
        <v>143</v>
      </c>
      <c r="H421" s="186" t="s">
        <v>413</v>
      </c>
      <c r="I421" s="186" t="s">
        <v>257</v>
      </c>
      <c r="J421" s="157"/>
      <c r="K421" s="216">
        <f>K422</f>
        <v>0</v>
      </c>
      <c r="L421" s="216">
        <f t="shared" ref="L421:M422" si="156">L422</f>
        <v>0</v>
      </c>
      <c r="M421" s="216">
        <f t="shared" si="156"/>
        <v>0</v>
      </c>
      <c r="N421" s="213"/>
      <c r="O421" s="213"/>
      <c r="P421" s="213"/>
      <c r="Q421" s="213"/>
      <c r="R421" s="213"/>
      <c r="S421" s="213"/>
    </row>
    <row r="422" spans="2:19" s="214" customFormat="1" ht="46.8" hidden="1">
      <c r="B422" s="176" t="s">
        <v>199</v>
      </c>
      <c r="C422" s="157" t="s">
        <v>117</v>
      </c>
      <c r="D422" s="157" t="s">
        <v>90</v>
      </c>
      <c r="E422" s="157" t="s">
        <v>86</v>
      </c>
      <c r="F422" s="186" t="s">
        <v>279</v>
      </c>
      <c r="G422" s="186" t="s">
        <v>143</v>
      </c>
      <c r="H422" s="186" t="s">
        <v>413</v>
      </c>
      <c r="I422" s="186" t="s">
        <v>257</v>
      </c>
      <c r="J422" s="157" t="s">
        <v>71</v>
      </c>
      <c r="K422" s="216">
        <f>K423</f>
        <v>0</v>
      </c>
      <c r="L422" s="216">
        <f t="shared" si="156"/>
        <v>0</v>
      </c>
      <c r="M422" s="216">
        <f t="shared" si="156"/>
        <v>0</v>
      </c>
      <c r="N422" s="213"/>
      <c r="O422" s="213"/>
      <c r="P422" s="213"/>
      <c r="Q422" s="213"/>
      <c r="R422" s="213"/>
      <c r="S422" s="213"/>
    </row>
    <row r="423" spans="2:19" s="214" customFormat="1" ht="46.8" hidden="1">
      <c r="B423" s="176" t="s">
        <v>72</v>
      </c>
      <c r="C423" s="157" t="s">
        <v>117</v>
      </c>
      <c r="D423" s="157" t="s">
        <v>90</v>
      </c>
      <c r="E423" s="157" t="s">
        <v>86</v>
      </c>
      <c r="F423" s="186" t="s">
        <v>279</v>
      </c>
      <c r="G423" s="186" t="s">
        <v>143</v>
      </c>
      <c r="H423" s="186" t="s">
        <v>413</v>
      </c>
      <c r="I423" s="186" t="s">
        <v>257</v>
      </c>
      <c r="J423" s="157" t="s">
        <v>73</v>
      </c>
      <c r="K423" s="216"/>
      <c r="L423" s="216"/>
      <c r="M423" s="216"/>
      <c r="N423" s="213"/>
      <c r="O423" s="213"/>
      <c r="P423" s="213"/>
      <c r="Q423" s="213"/>
      <c r="R423" s="213"/>
      <c r="S423" s="213"/>
    </row>
    <row r="424" spans="2:19" s="214" customFormat="1" ht="31.2" hidden="1">
      <c r="B424" s="176" t="s">
        <v>422</v>
      </c>
      <c r="C424" s="157" t="s">
        <v>117</v>
      </c>
      <c r="D424" s="157" t="s">
        <v>90</v>
      </c>
      <c r="E424" s="157" t="s">
        <v>86</v>
      </c>
      <c r="F424" s="186" t="s">
        <v>279</v>
      </c>
      <c r="G424" s="186" t="s">
        <v>143</v>
      </c>
      <c r="H424" s="157" t="s">
        <v>423</v>
      </c>
      <c r="I424" s="186" t="s">
        <v>145</v>
      </c>
      <c r="J424" s="157"/>
      <c r="K424" s="216">
        <f>K425+K428</f>
        <v>0</v>
      </c>
      <c r="L424" s="216">
        <f t="shared" ref="L424:M424" si="157">L425+L428</f>
        <v>0</v>
      </c>
      <c r="M424" s="216">
        <f t="shared" si="157"/>
        <v>0</v>
      </c>
      <c r="N424" s="213"/>
      <c r="O424" s="213"/>
      <c r="P424" s="213"/>
      <c r="Q424" s="213"/>
      <c r="R424" s="213"/>
      <c r="S424" s="213"/>
    </row>
    <row r="425" spans="2:19" s="214" customFormat="1" ht="31.2" hidden="1">
      <c r="B425" s="176" t="s">
        <v>424</v>
      </c>
      <c r="C425" s="157" t="s">
        <v>117</v>
      </c>
      <c r="D425" s="157" t="s">
        <v>90</v>
      </c>
      <c r="E425" s="157" t="s">
        <v>86</v>
      </c>
      <c r="F425" s="186" t="s">
        <v>279</v>
      </c>
      <c r="G425" s="186" t="s">
        <v>143</v>
      </c>
      <c r="H425" s="186" t="s">
        <v>423</v>
      </c>
      <c r="I425" s="186" t="s">
        <v>425</v>
      </c>
      <c r="J425" s="157"/>
      <c r="K425" s="216">
        <f>K426</f>
        <v>0</v>
      </c>
      <c r="L425" s="216">
        <f t="shared" ref="L425:M426" si="158">L426</f>
        <v>0</v>
      </c>
      <c r="M425" s="216">
        <f t="shared" si="158"/>
        <v>0</v>
      </c>
      <c r="N425" s="213"/>
      <c r="O425" s="213"/>
      <c r="P425" s="213"/>
      <c r="Q425" s="213"/>
      <c r="R425" s="213"/>
      <c r="S425" s="213"/>
    </row>
    <row r="426" spans="2:19" s="214" customFormat="1" ht="46.8" hidden="1">
      <c r="B426" s="176" t="s">
        <v>199</v>
      </c>
      <c r="C426" s="157" t="s">
        <v>117</v>
      </c>
      <c r="D426" s="157" t="s">
        <v>90</v>
      </c>
      <c r="E426" s="157" t="s">
        <v>86</v>
      </c>
      <c r="F426" s="186" t="s">
        <v>279</v>
      </c>
      <c r="G426" s="186" t="s">
        <v>143</v>
      </c>
      <c r="H426" s="186" t="s">
        <v>423</v>
      </c>
      <c r="I426" s="186" t="s">
        <v>425</v>
      </c>
      <c r="J426" s="157" t="s">
        <v>71</v>
      </c>
      <c r="K426" s="216">
        <f>K427</f>
        <v>0</v>
      </c>
      <c r="L426" s="216">
        <f t="shared" si="158"/>
        <v>0</v>
      </c>
      <c r="M426" s="216">
        <f t="shared" si="158"/>
        <v>0</v>
      </c>
      <c r="N426" s="213"/>
      <c r="O426" s="213"/>
      <c r="P426" s="213"/>
      <c r="Q426" s="213"/>
      <c r="R426" s="213"/>
      <c r="S426" s="213"/>
    </row>
    <row r="427" spans="2:19" s="214" customFormat="1" ht="46.8" hidden="1">
      <c r="B427" s="176" t="s">
        <v>72</v>
      </c>
      <c r="C427" s="157" t="s">
        <v>117</v>
      </c>
      <c r="D427" s="157" t="s">
        <v>90</v>
      </c>
      <c r="E427" s="157" t="s">
        <v>86</v>
      </c>
      <c r="F427" s="186" t="s">
        <v>279</v>
      </c>
      <c r="G427" s="186" t="s">
        <v>143</v>
      </c>
      <c r="H427" s="186" t="s">
        <v>423</v>
      </c>
      <c r="I427" s="186" t="s">
        <v>425</v>
      </c>
      <c r="J427" s="157" t="s">
        <v>73</v>
      </c>
      <c r="K427" s="216"/>
      <c r="L427" s="216"/>
      <c r="M427" s="216"/>
      <c r="N427" s="213"/>
      <c r="O427" s="213"/>
      <c r="P427" s="213"/>
      <c r="Q427" s="213"/>
      <c r="R427" s="213"/>
      <c r="S427" s="213"/>
    </row>
    <row r="428" spans="2:19" s="214" customFormat="1" ht="15.6" hidden="1">
      <c r="B428" s="176" t="s">
        <v>256</v>
      </c>
      <c r="C428" s="157" t="s">
        <v>117</v>
      </c>
      <c r="D428" s="157" t="s">
        <v>90</v>
      </c>
      <c r="E428" s="157" t="s">
        <v>86</v>
      </c>
      <c r="F428" s="186" t="s">
        <v>279</v>
      </c>
      <c r="G428" s="186" t="s">
        <v>143</v>
      </c>
      <c r="H428" s="186" t="s">
        <v>423</v>
      </c>
      <c r="I428" s="186" t="s">
        <v>257</v>
      </c>
      <c r="J428" s="157"/>
      <c r="K428" s="216">
        <f>K429</f>
        <v>0</v>
      </c>
      <c r="L428" s="216">
        <f t="shared" ref="L428:M429" si="159">L429</f>
        <v>0</v>
      </c>
      <c r="M428" s="216">
        <f t="shared" si="159"/>
        <v>0</v>
      </c>
      <c r="N428" s="213"/>
      <c r="O428" s="213"/>
      <c r="P428" s="213"/>
      <c r="Q428" s="213"/>
      <c r="R428" s="213"/>
      <c r="S428" s="213"/>
    </row>
    <row r="429" spans="2:19" s="214" customFormat="1" ht="46.8" hidden="1">
      <c r="B429" s="176" t="s">
        <v>199</v>
      </c>
      <c r="C429" s="157" t="s">
        <v>117</v>
      </c>
      <c r="D429" s="157" t="s">
        <v>90</v>
      </c>
      <c r="E429" s="157" t="s">
        <v>86</v>
      </c>
      <c r="F429" s="186" t="s">
        <v>279</v>
      </c>
      <c r="G429" s="186" t="s">
        <v>143</v>
      </c>
      <c r="H429" s="186" t="s">
        <v>423</v>
      </c>
      <c r="I429" s="186" t="s">
        <v>257</v>
      </c>
      <c r="J429" s="157" t="s">
        <v>71</v>
      </c>
      <c r="K429" s="216">
        <f>K430</f>
        <v>0</v>
      </c>
      <c r="L429" s="216">
        <f t="shared" si="159"/>
        <v>0</v>
      </c>
      <c r="M429" s="216">
        <f t="shared" si="159"/>
        <v>0</v>
      </c>
      <c r="N429" s="213"/>
      <c r="O429" s="213"/>
      <c r="P429" s="213"/>
      <c r="Q429" s="213"/>
      <c r="R429" s="213"/>
      <c r="S429" s="213"/>
    </row>
    <row r="430" spans="2:19" s="214" customFormat="1" ht="46.8" hidden="1">
      <c r="B430" s="176" t="s">
        <v>72</v>
      </c>
      <c r="C430" s="157" t="s">
        <v>117</v>
      </c>
      <c r="D430" s="157" t="s">
        <v>90</v>
      </c>
      <c r="E430" s="157" t="s">
        <v>86</v>
      </c>
      <c r="F430" s="186" t="s">
        <v>279</v>
      </c>
      <c r="G430" s="186" t="s">
        <v>143</v>
      </c>
      <c r="H430" s="186" t="s">
        <v>423</v>
      </c>
      <c r="I430" s="186" t="s">
        <v>257</v>
      </c>
      <c r="J430" s="157" t="s">
        <v>73</v>
      </c>
      <c r="K430" s="216"/>
      <c r="L430" s="216"/>
      <c r="M430" s="216"/>
      <c r="N430" s="213"/>
      <c r="O430" s="213"/>
      <c r="P430" s="213"/>
      <c r="Q430" s="213"/>
      <c r="R430" s="213"/>
      <c r="S430" s="213"/>
    </row>
    <row r="431" spans="2:19" s="214" customFormat="1" ht="31.2">
      <c r="B431" s="176" t="s">
        <v>426</v>
      </c>
      <c r="C431" s="157" t="s">
        <v>117</v>
      </c>
      <c r="D431" s="157" t="s">
        <v>90</v>
      </c>
      <c r="E431" s="157" t="s">
        <v>86</v>
      </c>
      <c r="F431" s="186" t="s">
        <v>279</v>
      </c>
      <c r="G431" s="186" t="s">
        <v>143</v>
      </c>
      <c r="H431" s="157" t="s">
        <v>427</v>
      </c>
      <c r="I431" s="186" t="s">
        <v>145</v>
      </c>
      <c r="J431" s="157"/>
      <c r="K431" s="216">
        <f>K432+K435+K438+K441+K444+K447</f>
        <v>0</v>
      </c>
      <c r="L431" s="216">
        <f t="shared" ref="L431:M431" si="160">L432+L435+L438+L441+L444+L447</f>
        <v>300</v>
      </c>
      <c r="M431" s="216">
        <f t="shared" si="160"/>
        <v>500.00000000000011</v>
      </c>
      <c r="N431" s="213"/>
      <c r="O431" s="213"/>
      <c r="P431" s="213"/>
      <c r="Q431" s="213"/>
      <c r="R431" s="213"/>
      <c r="S431" s="213"/>
    </row>
    <row r="432" spans="2:19" s="214" customFormat="1" ht="46.8" hidden="1">
      <c r="B432" s="176" t="s">
        <v>428</v>
      </c>
      <c r="C432" s="157" t="s">
        <v>117</v>
      </c>
      <c r="D432" s="157" t="s">
        <v>90</v>
      </c>
      <c r="E432" s="157" t="s">
        <v>86</v>
      </c>
      <c r="F432" s="186" t="s">
        <v>279</v>
      </c>
      <c r="G432" s="186" t="s">
        <v>143</v>
      </c>
      <c r="H432" s="186" t="s">
        <v>427</v>
      </c>
      <c r="I432" s="186" t="s">
        <v>429</v>
      </c>
      <c r="J432" s="157"/>
      <c r="K432" s="216">
        <f>K433</f>
        <v>0</v>
      </c>
      <c r="L432" s="216">
        <f t="shared" ref="L432:M433" si="161">L433</f>
        <v>0</v>
      </c>
      <c r="M432" s="216">
        <f t="shared" si="161"/>
        <v>0</v>
      </c>
      <c r="N432" s="213"/>
      <c r="O432" s="213"/>
      <c r="P432" s="213"/>
      <c r="Q432" s="213"/>
      <c r="R432" s="213"/>
      <c r="S432" s="213"/>
    </row>
    <row r="433" spans="2:19" s="214" customFormat="1" ht="46.8" hidden="1">
      <c r="B433" s="176" t="s">
        <v>199</v>
      </c>
      <c r="C433" s="157" t="s">
        <v>117</v>
      </c>
      <c r="D433" s="157" t="s">
        <v>90</v>
      </c>
      <c r="E433" s="157" t="s">
        <v>86</v>
      </c>
      <c r="F433" s="186" t="s">
        <v>279</v>
      </c>
      <c r="G433" s="186" t="s">
        <v>143</v>
      </c>
      <c r="H433" s="186" t="s">
        <v>427</v>
      </c>
      <c r="I433" s="186" t="s">
        <v>429</v>
      </c>
      <c r="J433" s="157" t="s">
        <v>71</v>
      </c>
      <c r="K433" s="216">
        <f>K434</f>
        <v>0</v>
      </c>
      <c r="L433" s="216">
        <f t="shared" si="161"/>
        <v>0</v>
      </c>
      <c r="M433" s="216">
        <f t="shared" si="161"/>
        <v>0</v>
      </c>
      <c r="N433" s="213"/>
      <c r="O433" s="213"/>
      <c r="P433" s="213"/>
      <c r="Q433" s="213"/>
      <c r="R433" s="213"/>
      <c r="S433" s="213"/>
    </row>
    <row r="434" spans="2:19" s="214" customFormat="1" ht="46.8" hidden="1">
      <c r="B434" s="176" t="s">
        <v>72</v>
      </c>
      <c r="C434" s="157" t="s">
        <v>117</v>
      </c>
      <c r="D434" s="157" t="s">
        <v>90</v>
      </c>
      <c r="E434" s="157" t="s">
        <v>86</v>
      </c>
      <c r="F434" s="186" t="s">
        <v>279</v>
      </c>
      <c r="G434" s="186" t="s">
        <v>143</v>
      </c>
      <c r="H434" s="186" t="s">
        <v>427</v>
      </c>
      <c r="I434" s="186" t="s">
        <v>429</v>
      </c>
      <c r="J434" s="157" t="s">
        <v>73</v>
      </c>
      <c r="K434" s="216"/>
      <c r="L434" s="216"/>
      <c r="M434" s="216"/>
      <c r="N434" s="213"/>
      <c r="O434" s="213"/>
      <c r="P434" s="213"/>
      <c r="Q434" s="213"/>
      <c r="R434" s="213"/>
      <c r="S434" s="213"/>
    </row>
    <row r="435" spans="2:19" s="214" customFormat="1" ht="31.2">
      <c r="B435" s="176" t="s">
        <v>430</v>
      </c>
      <c r="C435" s="157" t="s">
        <v>117</v>
      </c>
      <c r="D435" s="157" t="s">
        <v>90</v>
      </c>
      <c r="E435" s="157" t="s">
        <v>86</v>
      </c>
      <c r="F435" s="186" t="s">
        <v>279</v>
      </c>
      <c r="G435" s="186" t="s">
        <v>143</v>
      </c>
      <c r="H435" s="186" t="s">
        <v>427</v>
      </c>
      <c r="I435" s="186" t="s">
        <v>431</v>
      </c>
      <c r="J435" s="157"/>
      <c r="K435" s="216">
        <f>K436</f>
        <v>0</v>
      </c>
      <c r="L435" s="216">
        <f t="shared" ref="L435:M436" si="162">L436</f>
        <v>300</v>
      </c>
      <c r="M435" s="216">
        <f t="shared" si="162"/>
        <v>500.00000000000011</v>
      </c>
      <c r="N435" s="213"/>
      <c r="O435" s="213"/>
      <c r="P435" s="213"/>
      <c r="Q435" s="213"/>
      <c r="R435" s="213"/>
      <c r="S435" s="213"/>
    </row>
    <row r="436" spans="2:19" s="214" customFormat="1" ht="46.8">
      <c r="B436" s="176" t="s">
        <v>199</v>
      </c>
      <c r="C436" s="157" t="s">
        <v>117</v>
      </c>
      <c r="D436" s="157" t="s">
        <v>90</v>
      </c>
      <c r="E436" s="157" t="s">
        <v>86</v>
      </c>
      <c r="F436" s="186" t="s">
        <v>279</v>
      </c>
      <c r="G436" s="186" t="s">
        <v>143</v>
      </c>
      <c r="H436" s="186" t="s">
        <v>427</v>
      </c>
      <c r="I436" s="186" t="s">
        <v>431</v>
      </c>
      <c r="J436" s="157" t="s">
        <v>71</v>
      </c>
      <c r="K436" s="216">
        <f>K437</f>
        <v>0</v>
      </c>
      <c r="L436" s="216">
        <f t="shared" si="162"/>
        <v>300</v>
      </c>
      <c r="M436" s="216">
        <f t="shared" si="162"/>
        <v>500.00000000000011</v>
      </c>
      <c r="N436" s="213"/>
      <c r="O436" s="213"/>
      <c r="P436" s="213"/>
      <c r="Q436" s="213"/>
      <c r="R436" s="213"/>
      <c r="S436" s="213"/>
    </row>
    <row r="437" spans="2:19" s="214" customFormat="1" ht="46.8">
      <c r="B437" s="176" t="s">
        <v>72</v>
      </c>
      <c r="C437" s="157" t="s">
        <v>117</v>
      </c>
      <c r="D437" s="157" t="s">
        <v>90</v>
      </c>
      <c r="E437" s="157" t="s">
        <v>86</v>
      </c>
      <c r="F437" s="186" t="s">
        <v>279</v>
      </c>
      <c r="G437" s="186" t="s">
        <v>143</v>
      </c>
      <c r="H437" s="186" t="s">
        <v>427</v>
      </c>
      <c r="I437" s="186" t="s">
        <v>431</v>
      </c>
      <c r="J437" s="157" t="s">
        <v>73</v>
      </c>
      <c r="K437" s="216"/>
      <c r="L437" s="249">
        <f>600.5-300.5</f>
        <v>300</v>
      </c>
      <c r="M437" s="249">
        <f>1148.4-648.4</f>
        <v>500.00000000000011</v>
      </c>
      <c r="N437" s="213"/>
      <c r="O437" s="213"/>
      <c r="P437" s="213"/>
      <c r="Q437" s="213"/>
      <c r="R437" s="213"/>
      <c r="S437" s="213"/>
    </row>
    <row r="438" spans="2:19" s="214" customFormat="1" ht="31.2" hidden="1">
      <c r="B438" s="176" t="s">
        <v>432</v>
      </c>
      <c r="C438" s="157" t="s">
        <v>117</v>
      </c>
      <c r="D438" s="157" t="s">
        <v>90</v>
      </c>
      <c r="E438" s="157" t="s">
        <v>86</v>
      </c>
      <c r="F438" s="186" t="s">
        <v>279</v>
      </c>
      <c r="G438" s="186" t="s">
        <v>143</v>
      </c>
      <c r="H438" s="186" t="s">
        <v>427</v>
      </c>
      <c r="I438" s="186" t="s">
        <v>433</v>
      </c>
      <c r="J438" s="157"/>
      <c r="K438" s="216">
        <f>K439</f>
        <v>0</v>
      </c>
      <c r="L438" s="216">
        <f t="shared" ref="L438:M439" si="163">L439</f>
        <v>0</v>
      </c>
      <c r="M438" s="216">
        <f t="shared" si="163"/>
        <v>0</v>
      </c>
      <c r="N438" s="213"/>
      <c r="O438" s="213"/>
      <c r="P438" s="213"/>
      <c r="Q438" s="213"/>
      <c r="R438" s="213"/>
      <c r="S438" s="213"/>
    </row>
    <row r="439" spans="2:19" s="214" customFormat="1" ht="46.8" hidden="1">
      <c r="B439" s="176" t="s">
        <v>199</v>
      </c>
      <c r="C439" s="157" t="s">
        <v>117</v>
      </c>
      <c r="D439" s="157" t="s">
        <v>90</v>
      </c>
      <c r="E439" s="157" t="s">
        <v>86</v>
      </c>
      <c r="F439" s="186" t="s">
        <v>279</v>
      </c>
      <c r="G439" s="186" t="s">
        <v>143</v>
      </c>
      <c r="H439" s="186" t="s">
        <v>427</v>
      </c>
      <c r="I439" s="186" t="s">
        <v>433</v>
      </c>
      <c r="J439" s="157" t="s">
        <v>71</v>
      </c>
      <c r="K439" s="216">
        <f>K440</f>
        <v>0</v>
      </c>
      <c r="L439" s="216">
        <f t="shared" si="163"/>
        <v>0</v>
      </c>
      <c r="M439" s="216">
        <f t="shared" si="163"/>
        <v>0</v>
      </c>
      <c r="N439" s="213"/>
      <c r="O439" s="213"/>
      <c r="P439" s="213"/>
      <c r="Q439" s="213"/>
      <c r="R439" s="213"/>
      <c r="S439" s="213"/>
    </row>
    <row r="440" spans="2:19" s="214" customFormat="1" ht="46.8" hidden="1">
      <c r="B440" s="176" t="s">
        <v>72</v>
      </c>
      <c r="C440" s="157" t="s">
        <v>117</v>
      </c>
      <c r="D440" s="157" t="s">
        <v>90</v>
      </c>
      <c r="E440" s="157" t="s">
        <v>86</v>
      </c>
      <c r="F440" s="186" t="s">
        <v>279</v>
      </c>
      <c r="G440" s="186" t="s">
        <v>143</v>
      </c>
      <c r="H440" s="186" t="s">
        <v>427</v>
      </c>
      <c r="I440" s="186" t="s">
        <v>433</v>
      </c>
      <c r="J440" s="157" t="s">
        <v>73</v>
      </c>
      <c r="K440" s="216"/>
      <c r="L440" s="216"/>
      <c r="M440" s="216"/>
      <c r="N440" s="213"/>
      <c r="O440" s="213"/>
      <c r="P440" s="213"/>
      <c r="Q440" s="213"/>
      <c r="R440" s="213"/>
      <c r="S440" s="213"/>
    </row>
    <row r="441" spans="2:19" s="214" customFormat="1" ht="46.8" hidden="1">
      <c r="B441" s="176" t="s">
        <v>434</v>
      </c>
      <c r="C441" s="157" t="s">
        <v>117</v>
      </c>
      <c r="D441" s="157" t="s">
        <v>90</v>
      </c>
      <c r="E441" s="157" t="s">
        <v>86</v>
      </c>
      <c r="F441" s="186" t="s">
        <v>279</v>
      </c>
      <c r="G441" s="186" t="s">
        <v>143</v>
      </c>
      <c r="H441" s="186" t="s">
        <v>427</v>
      </c>
      <c r="I441" s="186" t="s">
        <v>435</v>
      </c>
      <c r="J441" s="157"/>
      <c r="K441" s="216">
        <f>K442</f>
        <v>0</v>
      </c>
      <c r="L441" s="216">
        <f t="shared" ref="L441:M442" si="164">L442</f>
        <v>0</v>
      </c>
      <c r="M441" s="216">
        <f t="shared" si="164"/>
        <v>0</v>
      </c>
      <c r="N441" s="213"/>
      <c r="O441" s="213"/>
      <c r="P441" s="213"/>
      <c r="Q441" s="213"/>
      <c r="R441" s="213"/>
      <c r="S441" s="213"/>
    </row>
    <row r="442" spans="2:19" s="214" customFormat="1" ht="46.8" hidden="1">
      <c r="B442" s="176" t="s">
        <v>199</v>
      </c>
      <c r="C442" s="157" t="s">
        <v>117</v>
      </c>
      <c r="D442" s="157" t="s">
        <v>90</v>
      </c>
      <c r="E442" s="157" t="s">
        <v>86</v>
      </c>
      <c r="F442" s="186" t="s">
        <v>279</v>
      </c>
      <c r="G442" s="186" t="s">
        <v>143</v>
      </c>
      <c r="H442" s="186" t="s">
        <v>427</v>
      </c>
      <c r="I442" s="186" t="s">
        <v>435</v>
      </c>
      <c r="J442" s="157" t="s">
        <v>71</v>
      </c>
      <c r="K442" s="216">
        <f>K443</f>
        <v>0</v>
      </c>
      <c r="L442" s="216">
        <f t="shared" si="164"/>
        <v>0</v>
      </c>
      <c r="M442" s="216">
        <f t="shared" si="164"/>
        <v>0</v>
      </c>
      <c r="N442" s="213"/>
      <c r="O442" s="213"/>
      <c r="P442" s="213"/>
      <c r="Q442" s="213"/>
      <c r="R442" s="213"/>
      <c r="S442" s="213"/>
    </row>
    <row r="443" spans="2:19" s="214" customFormat="1" ht="46.8" hidden="1">
      <c r="B443" s="176" t="s">
        <v>72</v>
      </c>
      <c r="C443" s="157" t="s">
        <v>117</v>
      </c>
      <c r="D443" s="157" t="s">
        <v>90</v>
      </c>
      <c r="E443" s="157" t="s">
        <v>86</v>
      </c>
      <c r="F443" s="186" t="s">
        <v>279</v>
      </c>
      <c r="G443" s="186" t="s">
        <v>143</v>
      </c>
      <c r="H443" s="186" t="s">
        <v>427</v>
      </c>
      <c r="I443" s="186" t="s">
        <v>435</v>
      </c>
      <c r="J443" s="157" t="s">
        <v>73</v>
      </c>
      <c r="K443" s="216"/>
      <c r="L443" s="216"/>
      <c r="M443" s="216"/>
      <c r="N443" s="213"/>
      <c r="O443" s="213"/>
      <c r="P443" s="213"/>
      <c r="Q443" s="213"/>
      <c r="R443" s="213"/>
      <c r="S443" s="213"/>
    </row>
    <row r="444" spans="2:19" s="214" customFormat="1" ht="46.8" hidden="1">
      <c r="B444" s="176" t="s">
        <v>436</v>
      </c>
      <c r="C444" s="157" t="s">
        <v>117</v>
      </c>
      <c r="D444" s="157" t="s">
        <v>90</v>
      </c>
      <c r="E444" s="157" t="s">
        <v>86</v>
      </c>
      <c r="F444" s="186" t="s">
        <v>279</v>
      </c>
      <c r="G444" s="186" t="s">
        <v>143</v>
      </c>
      <c r="H444" s="186" t="s">
        <v>427</v>
      </c>
      <c r="I444" s="186" t="s">
        <v>437</v>
      </c>
      <c r="J444" s="157"/>
      <c r="K444" s="216">
        <f>K445</f>
        <v>0</v>
      </c>
      <c r="L444" s="216">
        <f t="shared" ref="L444:M445" si="165">L445</f>
        <v>0</v>
      </c>
      <c r="M444" s="216">
        <f t="shared" si="165"/>
        <v>0</v>
      </c>
      <c r="N444" s="213"/>
      <c r="O444" s="213"/>
      <c r="P444" s="213"/>
      <c r="Q444" s="213"/>
      <c r="R444" s="213"/>
      <c r="S444" s="213"/>
    </row>
    <row r="445" spans="2:19" s="214" customFormat="1" ht="46.8" hidden="1">
      <c r="B445" s="176" t="s">
        <v>199</v>
      </c>
      <c r="C445" s="157" t="s">
        <v>117</v>
      </c>
      <c r="D445" s="157" t="s">
        <v>90</v>
      </c>
      <c r="E445" s="157" t="s">
        <v>86</v>
      </c>
      <c r="F445" s="186" t="s">
        <v>279</v>
      </c>
      <c r="G445" s="186" t="s">
        <v>143</v>
      </c>
      <c r="H445" s="186" t="s">
        <v>427</v>
      </c>
      <c r="I445" s="186" t="s">
        <v>437</v>
      </c>
      <c r="J445" s="157" t="s">
        <v>71</v>
      </c>
      <c r="K445" s="216">
        <f>K446</f>
        <v>0</v>
      </c>
      <c r="L445" s="216">
        <f t="shared" si="165"/>
        <v>0</v>
      </c>
      <c r="M445" s="216">
        <f t="shared" si="165"/>
        <v>0</v>
      </c>
      <c r="N445" s="213"/>
      <c r="O445" s="213"/>
      <c r="P445" s="213"/>
      <c r="Q445" s="213"/>
      <c r="R445" s="213"/>
      <c r="S445" s="213"/>
    </row>
    <row r="446" spans="2:19" s="214" customFormat="1" ht="46.8" hidden="1">
      <c r="B446" s="176" t="s">
        <v>72</v>
      </c>
      <c r="C446" s="157" t="s">
        <v>117</v>
      </c>
      <c r="D446" s="157" t="s">
        <v>90</v>
      </c>
      <c r="E446" s="157" t="s">
        <v>86</v>
      </c>
      <c r="F446" s="186" t="s">
        <v>279</v>
      </c>
      <c r="G446" s="186" t="s">
        <v>143</v>
      </c>
      <c r="H446" s="186" t="s">
        <v>427</v>
      </c>
      <c r="I446" s="186" t="s">
        <v>437</v>
      </c>
      <c r="J446" s="157" t="s">
        <v>73</v>
      </c>
      <c r="K446" s="216"/>
      <c r="L446" s="216"/>
      <c r="M446" s="216"/>
      <c r="N446" s="213"/>
      <c r="O446" s="213"/>
      <c r="P446" s="213"/>
      <c r="Q446" s="213"/>
      <c r="R446" s="213"/>
      <c r="S446" s="213"/>
    </row>
    <row r="447" spans="2:19" s="214" customFormat="1" ht="15.6" hidden="1">
      <c r="B447" s="176" t="s">
        <v>256</v>
      </c>
      <c r="C447" s="157" t="s">
        <v>117</v>
      </c>
      <c r="D447" s="157" t="s">
        <v>90</v>
      </c>
      <c r="E447" s="157" t="s">
        <v>86</v>
      </c>
      <c r="F447" s="186" t="s">
        <v>279</v>
      </c>
      <c r="G447" s="186" t="s">
        <v>143</v>
      </c>
      <c r="H447" s="186" t="s">
        <v>427</v>
      </c>
      <c r="I447" s="186" t="s">
        <v>257</v>
      </c>
      <c r="J447" s="157"/>
      <c r="K447" s="216">
        <f>K448</f>
        <v>0</v>
      </c>
      <c r="L447" s="216">
        <f t="shared" ref="L447:M448" si="166">L448</f>
        <v>0</v>
      </c>
      <c r="M447" s="216">
        <f t="shared" si="166"/>
        <v>0</v>
      </c>
      <c r="N447" s="213"/>
      <c r="O447" s="213"/>
      <c r="P447" s="213"/>
      <c r="Q447" s="213"/>
      <c r="R447" s="213"/>
      <c r="S447" s="213"/>
    </row>
    <row r="448" spans="2:19" s="214" customFormat="1" ht="46.8" hidden="1">
      <c r="B448" s="176" t="s">
        <v>199</v>
      </c>
      <c r="C448" s="157" t="s">
        <v>117</v>
      </c>
      <c r="D448" s="157" t="s">
        <v>90</v>
      </c>
      <c r="E448" s="157" t="s">
        <v>86</v>
      </c>
      <c r="F448" s="186" t="s">
        <v>279</v>
      </c>
      <c r="G448" s="186" t="s">
        <v>143</v>
      </c>
      <c r="H448" s="186" t="s">
        <v>427</v>
      </c>
      <c r="I448" s="186" t="s">
        <v>257</v>
      </c>
      <c r="J448" s="157" t="s">
        <v>71</v>
      </c>
      <c r="K448" s="216">
        <f>K449</f>
        <v>0</v>
      </c>
      <c r="L448" s="216">
        <f t="shared" si="166"/>
        <v>0</v>
      </c>
      <c r="M448" s="216">
        <f t="shared" si="166"/>
        <v>0</v>
      </c>
      <c r="N448" s="213"/>
      <c r="O448" s="213"/>
      <c r="P448" s="213"/>
      <c r="Q448" s="213"/>
      <c r="R448" s="213"/>
      <c r="S448" s="213"/>
    </row>
    <row r="449" spans="2:19" s="214" customFormat="1" ht="46.8" hidden="1">
      <c r="B449" s="176" t="s">
        <v>72</v>
      </c>
      <c r="C449" s="157" t="s">
        <v>117</v>
      </c>
      <c r="D449" s="157" t="s">
        <v>90</v>
      </c>
      <c r="E449" s="157" t="s">
        <v>86</v>
      </c>
      <c r="F449" s="186" t="s">
        <v>279</v>
      </c>
      <c r="G449" s="186" t="s">
        <v>143</v>
      </c>
      <c r="H449" s="186" t="s">
        <v>427</v>
      </c>
      <c r="I449" s="186" t="s">
        <v>257</v>
      </c>
      <c r="J449" s="157" t="s">
        <v>73</v>
      </c>
      <c r="K449" s="216"/>
      <c r="L449" s="216"/>
      <c r="M449" s="216"/>
      <c r="N449" s="213"/>
      <c r="O449" s="213"/>
      <c r="P449" s="213"/>
      <c r="Q449" s="213"/>
      <c r="R449" s="213"/>
      <c r="S449" s="213"/>
    </row>
    <row r="450" spans="2:19" s="214" customFormat="1" ht="78" hidden="1">
      <c r="B450" s="197" t="s">
        <v>438</v>
      </c>
      <c r="C450" s="157" t="s">
        <v>117</v>
      </c>
      <c r="D450" s="146" t="s">
        <v>90</v>
      </c>
      <c r="E450" s="210" t="s">
        <v>86</v>
      </c>
      <c r="F450" s="146" t="s">
        <v>439</v>
      </c>
      <c r="G450" s="146" t="s">
        <v>143</v>
      </c>
      <c r="H450" s="146" t="s">
        <v>144</v>
      </c>
      <c r="I450" s="146" t="s">
        <v>145</v>
      </c>
      <c r="J450" s="154"/>
      <c r="K450" s="187">
        <f>K451+K458</f>
        <v>0</v>
      </c>
      <c r="L450" s="187">
        <f t="shared" ref="L450:M450" si="167">L451+L458</f>
        <v>0</v>
      </c>
      <c r="M450" s="187">
        <f t="shared" si="167"/>
        <v>0</v>
      </c>
      <c r="N450" s="213"/>
      <c r="O450" s="213"/>
      <c r="P450" s="213"/>
      <c r="Q450" s="213"/>
      <c r="R450" s="213"/>
      <c r="S450" s="213"/>
    </row>
    <row r="451" spans="2:19" s="214" customFormat="1" ht="46.8" hidden="1">
      <c r="B451" s="176" t="s">
        <v>440</v>
      </c>
      <c r="C451" s="157" t="s">
        <v>117</v>
      </c>
      <c r="D451" s="157" t="s">
        <v>90</v>
      </c>
      <c r="E451" s="211" t="s">
        <v>86</v>
      </c>
      <c r="F451" s="157" t="s">
        <v>439</v>
      </c>
      <c r="G451" s="157" t="s">
        <v>143</v>
      </c>
      <c r="H451" s="157" t="s">
        <v>63</v>
      </c>
      <c r="I451" s="157" t="s">
        <v>145</v>
      </c>
      <c r="J451" s="158"/>
      <c r="K451" s="188">
        <f>K452+K455</f>
        <v>0</v>
      </c>
      <c r="L451" s="188">
        <f t="shared" ref="L451:M451" si="168">L452+L455</f>
        <v>0</v>
      </c>
      <c r="M451" s="188">
        <f t="shared" si="168"/>
        <v>0</v>
      </c>
      <c r="N451" s="213"/>
      <c r="O451" s="213"/>
      <c r="P451" s="213"/>
      <c r="Q451" s="213"/>
      <c r="R451" s="213"/>
      <c r="S451" s="213"/>
    </row>
    <row r="452" spans="2:19" s="214" customFormat="1" ht="78" hidden="1">
      <c r="B452" s="176" t="s">
        <v>441</v>
      </c>
      <c r="C452" s="157" t="s">
        <v>117</v>
      </c>
      <c r="D452" s="157" t="s">
        <v>90</v>
      </c>
      <c r="E452" s="211" t="s">
        <v>86</v>
      </c>
      <c r="F452" s="157" t="s">
        <v>439</v>
      </c>
      <c r="G452" s="157" t="s">
        <v>143</v>
      </c>
      <c r="H452" s="157" t="s">
        <v>63</v>
      </c>
      <c r="I452" s="157" t="s">
        <v>442</v>
      </c>
      <c r="J452" s="158"/>
      <c r="K452" s="188">
        <f>K453</f>
        <v>0</v>
      </c>
      <c r="L452" s="188">
        <f t="shared" ref="L452:M453" si="169">L453</f>
        <v>0</v>
      </c>
      <c r="M452" s="188">
        <f t="shared" si="169"/>
        <v>0</v>
      </c>
      <c r="N452" s="213"/>
      <c r="O452" s="213"/>
      <c r="P452" s="213"/>
      <c r="Q452" s="213"/>
      <c r="R452" s="213"/>
      <c r="S452" s="213"/>
    </row>
    <row r="453" spans="2:19" s="214" customFormat="1" ht="46.8" hidden="1">
      <c r="B453" s="162" t="s">
        <v>70</v>
      </c>
      <c r="C453" s="157" t="s">
        <v>117</v>
      </c>
      <c r="D453" s="157" t="s">
        <v>90</v>
      </c>
      <c r="E453" s="211" t="s">
        <v>86</v>
      </c>
      <c r="F453" s="157" t="s">
        <v>439</v>
      </c>
      <c r="G453" s="157" t="s">
        <v>143</v>
      </c>
      <c r="H453" s="157" t="s">
        <v>63</v>
      </c>
      <c r="I453" s="157" t="s">
        <v>442</v>
      </c>
      <c r="J453" s="158" t="s">
        <v>71</v>
      </c>
      <c r="K453" s="188">
        <f>K454</f>
        <v>0</v>
      </c>
      <c r="L453" s="188">
        <f t="shared" si="169"/>
        <v>0</v>
      </c>
      <c r="M453" s="188">
        <f t="shared" si="169"/>
        <v>0</v>
      </c>
      <c r="N453" s="213"/>
      <c r="O453" s="213"/>
      <c r="P453" s="213"/>
      <c r="Q453" s="213"/>
      <c r="R453" s="213"/>
      <c r="S453" s="213"/>
    </row>
    <row r="454" spans="2:19" s="214" customFormat="1" ht="46.8" hidden="1">
      <c r="B454" s="162" t="s">
        <v>72</v>
      </c>
      <c r="C454" s="157" t="s">
        <v>117</v>
      </c>
      <c r="D454" s="157" t="s">
        <v>90</v>
      </c>
      <c r="E454" s="211" t="s">
        <v>86</v>
      </c>
      <c r="F454" s="157" t="s">
        <v>439</v>
      </c>
      <c r="G454" s="157" t="s">
        <v>143</v>
      </c>
      <c r="H454" s="157" t="s">
        <v>63</v>
      </c>
      <c r="I454" s="157" t="s">
        <v>442</v>
      </c>
      <c r="J454" s="158" t="s">
        <v>73</v>
      </c>
      <c r="K454" s="188"/>
      <c r="L454" s="188"/>
      <c r="M454" s="188"/>
      <c r="N454" s="213"/>
      <c r="O454" s="213"/>
      <c r="P454" s="213"/>
      <c r="Q454" s="213"/>
      <c r="R454" s="213"/>
      <c r="S454" s="213"/>
    </row>
    <row r="455" spans="2:19" s="214" customFormat="1" ht="15.6" hidden="1">
      <c r="B455" s="176" t="s">
        <v>256</v>
      </c>
      <c r="C455" s="157" t="s">
        <v>117</v>
      </c>
      <c r="D455" s="157" t="s">
        <v>90</v>
      </c>
      <c r="E455" s="211" t="s">
        <v>86</v>
      </c>
      <c r="F455" s="157" t="s">
        <v>439</v>
      </c>
      <c r="G455" s="157" t="s">
        <v>143</v>
      </c>
      <c r="H455" s="157" t="s">
        <v>63</v>
      </c>
      <c r="I455" s="157" t="s">
        <v>257</v>
      </c>
      <c r="J455" s="158"/>
      <c r="K455" s="188">
        <f>K456</f>
        <v>0</v>
      </c>
      <c r="L455" s="188">
        <f t="shared" ref="L455:M456" si="170">L456</f>
        <v>0</v>
      </c>
      <c r="M455" s="188">
        <f t="shared" si="170"/>
        <v>0</v>
      </c>
      <c r="N455" s="213"/>
      <c r="O455" s="213"/>
      <c r="P455" s="213"/>
      <c r="Q455" s="213"/>
      <c r="R455" s="213"/>
      <c r="S455" s="213"/>
    </row>
    <row r="456" spans="2:19" s="214" customFormat="1" ht="46.8" hidden="1">
      <c r="B456" s="162" t="s">
        <v>70</v>
      </c>
      <c r="C456" s="157" t="s">
        <v>117</v>
      </c>
      <c r="D456" s="157" t="s">
        <v>90</v>
      </c>
      <c r="E456" s="211" t="s">
        <v>86</v>
      </c>
      <c r="F456" s="157" t="s">
        <v>439</v>
      </c>
      <c r="G456" s="157" t="s">
        <v>143</v>
      </c>
      <c r="H456" s="157" t="s">
        <v>63</v>
      </c>
      <c r="I456" s="157" t="s">
        <v>257</v>
      </c>
      <c r="J456" s="158" t="s">
        <v>71</v>
      </c>
      <c r="K456" s="188">
        <f>K457</f>
        <v>0</v>
      </c>
      <c r="L456" s="188">
        <f t="shared" si="170"/>
        <v>0</v>
      </c>
      <c r="M456" s="188">
        <f t="shared" si="170"/>
        <v>0</v>
      </c>
      <c r="N456" s="213"/>
      <c r="O456" s="213"/>
      <c r="P456" s="213"/>
      <c r="Q456" s="213"/>
      <c r="R456" s="213"/>
      <c r="S456" s="213"/>
    </row>
    <row r="457" spans="2:19" s="214" customFormat="1" ht="46.8" hidden="1">
      <c r="B457" s="162" t="s">
        <v>72</v>
      </c>
      <c r="C457" s="157" t="s">
        <v>117</v>
      </c>
      <c r="D457" s="157" t="s">
        <v>90</v>
      </c>
      <c r="E457" s="211" t="s">
        <v>86</v>
      </c>
      <c r="F457" s="157" t="s">
        <v>439</v>
      </c>
      <c r="G457" s="157" t="s">
        <v>143</v>
      </c>
      <c r="H457" s="157" t="s">
        <v>63</v>
      </c>
      <c r="I457" s="157" t="s">
        <v>257</v>
      </c>
      <c r="J457" s="158" t="s">
        <v>73</v>
      </c>
      <c r="K457" s="188"/>
      <c r="L457" s="188"/>
      <c r="M457" s="188"/>
      <c r="N457" s="213"/>
      <c r="O457" s="213"/>
      <c r="P457" s="213"/>
      <c r="Q457" s="213"/>
      <c r="R457" s="213"/>
      <c r="S457" s="213"/>
    </row>
    <row r="458" spans="2:19" s="214" customFormat="1" ht="46.8" hidden="1">
      <c r="B458" s="176" t="s">
        <v>443</v>
      </c>
      <c r="C458" s="157" t="s">
        <v>117</v>
      </c>
      <c r="D458" s="157" t="s">
        <v>90</v>
      </c>
      <c r="E458" s="211" t="s">
        <v>86</v>
      </c>
      <c r="F458" s="157" t="s">
        <v>439</v>
      </c>
      <c r="G458" s="157" t="s">
        <v>143</v>
      </c>
      <c r="H458" s="157" t="s">
        <v>85</v>
      </c>
      <c r="I458" s="157" t="s">
        <v>145</v>
      </c>
      <c r="J458" s="158"/>
      <c r="K458" s="188">
        <f>K459+K462</f>
        <v>0</v>
      </c>
      <c r="L458" s="188">
        <f t="shared" ref="L458:M458" si="171">L459+L462</f>
        <v>0</v>
      </c>
      <c r="M458" s="188">
        <f t="shared" si="171"/>
        <v>0</v>
      </c>
      <c r="N458" s="213"/>
      <c r="O458" s="213"/>
      <c r="P458" s="213"/>
      <c r="Q458" s="213"/>
      <c r="R458" s="213"/>
      <c r="S458" s="213"/>
    </row>
    <row r="459" spans="2:19" s="214" customFormat="1" ht="78" hidden="1">
      <c r="B459" s="176" t="s">
        <v>441</v>
      </c>
      <c r="C459" s="157" t="s">
        <v>117</v>
      </c>
      <c r="D459" s="157" t="s">
        <v>90</v>
      </c>
      <c r="E459" s="211" t="s">
        <v>86</v>
      </c>
      <c r="F459" s="157" t="s">
        <v>439</v>
      </c>
      <c r="G459" s="157" t="s">
        <v>143</v>
      </c>
      <c r="H459" s="157" t="s">
        <v>85</v>
      </c>
      <c r="I459" s="157" t="s">
        <v>442</v>
      </c>
      <c r="J459" s="158"/>
      <c r="K459" s="188">
        <f>K460</f>
        <v>0</v>
      </c>
      <c r="L459" s="188">
        <f t="shared" ref="L459:M460" si="172">L460</f>
        <v>0</v>
      </c>
      <c r="M459" s="188">
        <f t="shared" si="172"/>
        <v>0</v>
      </c>
      <c r="N459" s="213"/>
      <c r="O459" s="213"/>
      <c r="P459" s="213"/>
      <c r="Q459" s="213"/>
      <c r="R459" s="213"/>
      <c r="S459" s="213"/>
    </row>
    <row r="460" spans="2:19" s="214" customFormat="1" ht="46.8" hidden="1">
      <c r="B460" s="162" t="s">
        <v>70</v>
      </c>
      <c r="C460" s="157" t="s">
        <v>117</v>
      </c>
      <c r="D460" s="157" t="s">
        <v>90</v>
      </c>
      <c r="E460" s="211" t="s">
        <v>86</v>
      </c>
      <c r="F460" s="157" t="s">
        <v>439</v>
      </c>
      <c r="G460" s="157" t="s">
        <v>143</v>
      </c>
      <c r="H460" s="157" t="s">
        <v>85</v>
      </c>
      <c r="I460" s="157" t="s">
        <v>442</v>
      </c>
      <c r="J460" s="158" t="s">
        <v>71</v>
      </c>
      <c r="K460" s="188">
        <f>K461</f>
        <v>0</v>
      </c>
      <c r="L460" s="188">
        <f t="shared" si="172"/>
        <v>0</v>
      </c>
      <c r="M460" s="188">
        <f t="shared" si="172"/>
        <v>0</v>
      </c>
      <c r="N460" s="213"/>
      <c r="O460" s="213"/>
      <c r="P460" s="213"/>
      <c r="Q460" s="213"/>
      <c r="R460" s="213"/>
      <c r="S460" s="213"/>
    </row>
    <row r="461" spans="2:19" s="214" customFormat="1" ht="46.8" hidden="1">
      <c r="B461" s="162" t="s">
        <v>72</v>
      </c>
      <c r="C461" s="157" t="s">
        <v>117</v>
      </c>
      <c r="D461" s="157" t="s">
        <v>90</v>
      </c>
      <c r="E461" s="211" t="s">
        <v>86</v>
      </c>
      <c r="F461" s="157" t="s">
        <v>439</v>
      </c>
      <c r="G461" s="157" t="s">
        <v>143</v>
      </c>
      <c r="H461" s="157" t="s">
        <v>85</v>
      </c>
      <c r="I461" s="157" t="s">
        <v>442</v>
      </c>
      <c r="J461" s="158" t="s">
        <v>73</v>
      </c>
      <c r="K461" s="188"/>
      <c r="L461" s="188"/>
      <c r="M461" s="188"/>
      <c r="N461" s="213"/>
      <c r="O461" s="213"/>
      <c r="P461" s="213"/>
      <c r="Q461" s="213"/>
      <c r="R461" s="213"/>
      <c r="S461" s="213"/>
    </row>
    <row r="462" spans="2:19" s="214" customFormat="1" ht="15.6" hidden="1">
      <c r="B462" s="176" t="s">
        <v>256</v>
      </c>
      <c r="C462" s="157" t="s">
        <v>117</v>
      </c>
      <c r="D462" s="157" t="s">
        <v>90</v>
      </c>
      <c r="E462" s="211" t="s">
        <v>86</v>
      </c>
      <c r="F462" s="157" t="s">
        <v>439</v>
      </c>
      <c r="G462" s="157" t="s">
        <v>143</v>
      </c>
      <c r="H462" s="157" t="s">
        <v>85</v>
      </c>
      <c r="I462" s="157" t="s">
        <v>257</v>
      </c>
      <c r="J462" s="158"/>
      <c r="K462" s="188">
        <f>K463</f>
        <v>0</v>
      </c>
      <c r="L462" s="188">
        <f t="shared" ref="L462:M463" si="173">L463</f>
        <v>0</v>
      </c>
      <c r="M462" s="188">
        <f t="shared" si="173"/>
        <v>0</v>
      </c>
      <c r="N462" s="213"/>
      <c r="O462" s="213"/>
      <c r="P462" s="213"/>
      <c r="Q462" s="213"/>
      <c r="R462" s="213"/>
      <c r="S462" s="213"/>
    </row>
    <row r="463" spans="2:19" s="214" customFormat="1" ht="46.8" hidden="1">
      <c r="B463" s="162" t="s">
        <v>70</v>
      </c>
      <c r="C463" s="157" t="s">
        <v>117</v>
      </c>
      <c r="D463" s="157" t="s">
        <v>90</v>
      </c>
      <c r="E463" s="211" t="s">
        <v>86</v>
      </c>
      <c r="F463" s="157" t="s">
        <v>439</v>
      </c>
      <c r="G463" s="157" t="s">
        <v>143</v>
      </c>
      <c r="H463" s="157" t="s">
        <v>85</v>
      </c>
      <c r="I463" s="157" t="s">
        <v>257</v>
      </c>
      <c r="J463" s="158" t="s">
        <v>71</v>
      </c>
      <c r="K463" s="188">
        <f>K464</f>
        <v>0</v>
      </c>
      <c r="L463" s="188">
        <f t="shared" si="173"/>
        <v>0</v>
      </c>
      <c r="M463" s="188">
        <f t="shared" si="173"/>
        <v>0</v>
      </c>
      <c r="N463" s="213"/>
      <c r="O463" s="213"/>
      <c r="P463" s="213"/>
      <c r="Q463" s="213"/>
      <c r="R463" s="213"/>
      <c r="S463" s="213"/>
    </row>
    <row r="464" spans="2:19" s="214" customFormat="1" ht="46.8" hidden="1">
      <c r="B464" s="162" t="s">
        <v>72</v>
      </c>
      <c r="C464" s="157" t="s">
        <v>117</v>
      </c>
      <c r="D464" s="157" t="s">
        <v>90</v>
      </c>
      <c r="E464" s="211" t="s">
        <v>86</v>
      </c>
      <c r="F464" s="157" t="s">
        <v>439</v>
      </c>
      <c r="G464" s="157" t="s">
        <v>143</v>
      </c>
      <c r="H464" s="157" t="s">
        <v>85</v>
      </c>
      <c r="I464" s="157" t="s">
        <v>257</v>
      </c>
      <c r="J464" s="158" t="s">
        <v>73</v>
      </c>
      <c r="K464" s="188"/>
      <c r="L464" s="188"/>
      <c r="M464" s="188"/>
      <c r="N464" s="213"/>
      <c r="O464" s="213"/>
      <c r="P464" s="213"/>
      <c r="Q464" s="213"/>
      <c r="R464" s="213"/>
      <c r="S464" s="213"/>
    </row>
    <row r="465" spans="2:19" s="214" customFormat="1" ht="15.6">
      <c r="B465" s="150" t="s">
        <v>95</v>
      </c>
      <c r="C465" s="157" t="s">
        <v>117</v>
      </c>
      <c r="D465" s="146" t="s">
        <v>96</v>
      </c>
      <c r="E465" s="146"/>
      <c r="F465" s="146"/>
      <c r="G465" s="146"/>
      <c r="H465" s="146"/>
      <c r="I465" s="146"/>
      <c r="J465" s="146"/>
      <c r="K465" s="148">
        <f>K466+K474</f>
        <v>405</v>
      </c>
      <c r="L465" s="148">
        <f t="shared" ref="L465:M465" si="174">L466+L474</f>
        <v>405</v>
      </c>
      <c r="M465" s="148">
        <f t="shared" si="174"/>
        <v>405</v>
      </c>
      <c r="N465" s="213"/>
      <c r="O465" s="213"/>
      <c r="P465" s="213"/>
      <c r="Q465" s="213"/>
      <c r="R465" s="213"/>
      <c r="S465" s="213"/>
    </row>
    <row r="466" spans="2:19" s="214" customFormat="1" ht="15.6">
      <c r="B466" s="150" t="s">
        <v>97</v>
      </c>
      <c r="C466" s="157" t="s">
        <v>117</v>
      </c>
      <c r="D466" s="146" t="s">
        <v>96</v>
      </c>
      <c r="E466" s="146" t="s">
        <v>63</v>
      </c>
      <c r="F466" s="146"/>
      <c r="G466" s="146"/>
      <c r="H466" s="146"/>
      <c r="I466" s="146"/>
      <c r="J466" s="146"/>
      <c r="K466" s="148">
        <f>K467</f>
        <v>353.7</v>
      </c>
      <c r="L466" s="148">
        <f t="shared" ref="L466:M468" si="175">L467</f>
        <v>353.7</v>
      </c>
      <c r="M466" s="148">
        <f t="shared" si="175"/>
        <v>353.7</v>
      </c>
      <c r="N466" s="213"/>
      <c r="O466" s="213"/>
      <c r="P466" s="213"/>
      <c r="Q466" s="213"/>
      <c r="R466" s="213"/>
      <c r="S466" s="213"/>
    </row>
    <row r="467" spans="2:19" s="218" customFormat="1" ht="46.8">
      <c r="B467" s="163" t="s">
        <v>175</v>
      </c>
      <c r="C467" s="157" t="s">
        <v>117</v>
      </c>
      <c r="D467" s="157" t="s">
        <v>96</v>
      </c>
      <c r="E467" s="157" t="s">
        <v>63</v>
      </c>
      <c r="F467" s="164" t="s">
        <v>176</v>
      </c>
      <c r="G467" s="164" t="s">
        <v>143</v>
      </c>
      <c r="H467" s="164" t="s">
        <v>144</v>
      </c>
      <c r="I467" s="164" t="s">
        <v>145</v>
      </c>
      <c r="J467" s="157"/>
      <c r="K467" s="159">
        <f>K468</f>
        <v>353.7</v>
      </c>
      <c r="L467" s="159">
        <f t="shared" si="175"/>
        <v>353.7</v>
      </c>
      <c r="M467" s="159">
        <f t="shared" si="175"/>
        <v>353.7</v>
      </c>
      <c r="N467" s="217"/>
      <c r="O467" s="217"/>
      <c r="P467" s="217"/>
      <c r="Q467" s="217"/>
      <c r="R467" s="217"/>
      <c r="S467" s="217"/>
    </row>
    <row r="468" spans="2:19" s="218" customFormat="1" ht="15.6">
      <c r="B468" s="179" t="s">
        <v>97</v>
      </c>
      <c r="C468" s="157" t="s">
        <v>117</v>
      </c>
      <c r="D468" s="157" t="s">
        <v>96</v>
      </c>
      <c r="E468" s="157" t="s">
        <v>63</v>
      </c>
      <c r="F468" s="164" t="s">
        <v>176</v>
      </c>
      <c r="G468" s="164" t="s">
        <v>152</v>
      </c>
      <c r="H468" s="164" t="s">
        <v>144</v>
      </c>
      <c r="I468" s="164" t="s">
        <v>145</v>
      </c>
      <c r="J468" s="157"/>
      <c r="K468" s="159">
        <f>K469</f>
        <v>353.7</v>
      </c>
      <c r="L468" s="159">
        <f t="shared" si="175"/>
        <v>353.7</v>
      </c>
      <c r="M468" s="159">
        <f t="shared" si="175"/>
        <v>353.7</v>
      </c>
      <c r="N468" s="217"/>
      <c r="O468" s="217"/>
      <c r="P468" s="217"/>
      <c r="Q468" s="217"/>
      <c r="R468" s="217"/>
      <c r="S468" s="217"/>
    </row>
    <row r="469" spans="2:19" s="218" customFormat="1" ht="31.2">
      <c r="B469" s="179" t="s">
        <v>98</v>
      </c>
      <c r="C469" s="157" t="s">
        <v>117</v>
      </c>
      <c r="D469" s="157" t="s">
        <v>96</v>
      </c>
      <c r="E469" s="157" t="s">
        <v>63</v>
      </c>
      <c r="F469" s="164" t="s">
        <v>176</v>
      </c>
      <c r="G469" s="164" t="s">
        <v>152</v>
      </c>
      <c r="H469" s="164" t="s">
        <v>144</v>
      </c>
      <c r="I469" s="164" t="s">
        <v>177</v>
      </c>
      <c r="J469" s="157"/>
      <c r="K469" s="159">
        <f>K470+K472</f>
        <v>353.7</v>
      </c>
      <c r="L469" s="159">
        <f t="shared" ref="L469:M469" si="176">L470+L472</f>
        <v>353.7</v>
      </c>
      <c r="M469" s="159">
        <f t="shared" si="176"/>
        <v>353.7</v>
      </c>
      <c r="N469" s="217"/>
      <c r="O469" s="217"/>
      <c r="P469" s="217"/>
      <c r="Q469" s="217"/>
      <c r="R469" s="217"/>
      <c r="S469" s="217"/>
    </row>
    <row r="470" spans="2:19" s="218" customFormat="1" ht="46.8">
      <c r="B470" s="162" t="s">
        <v>148</v>
      </c>
      <c r="C470" s="157" t="s">
        <v>117</v>
      </c>
      <c r="D470" s="157" t="s">
        <v>96</v>
      </c>
      <c r="E470" s="157" t="s">
        <v>63</v>
      </c>
      <c r="F470" s="164" t="s">
        <v>176</v>
      </c>
      <c r="G470" s="164" t="s">
        <v>152</v>
      </c>
      <c r="H470" s="164" t="s">
        <v>144</v>
      </c>
      <c r="I470" s="164" t="s">
        <v>177</v>
      </c>
      <c r="J470" s="157" t="s">
        <v>71</v>
      </c>
      <c r="K470" s="159">
        <f>K471</f>
        <v>10.799999999999999</v>
      </c>
      <c r="L470" s="159">
        <f t="shared" ref="L470:M470" si="177">L471</f>
        <v>10.799999999999999</v>
      </c>
      <c r="M470" s="159">
        <f t="shared" si="177"/>
        <v>10.799999999999999</v>
      </c>
      <c r="N470" s="217"/>
      <c r="O470" s="217"/>
      <c r="P470" s="217"/>
      <c r="Q470" s="217"/>
      <c r="R470" s="217"/>
      <c r="S470" s="217"/>
    </row>
    <row r="471" spans="2:19" s="218" customFormat="1" ht="46.8">
      <c r="B471" s="162" t="s">
        <v>72</v>
      </c>
      <c r="C471" s="157" t="s">
        <v>117</v>
      </c>
      <c r="D471" s="157" t="s">
        <v>96</v>
      </c>
      <c r="E471" s="157" t="s">
        <v>63</v>
      </c>
      <c r="F471" s="164" t="s">
        <v>176</v>
      </c>
      <c r="G471" s="164" t="s">
        <v>152</v>
      </c>
      <c r="H471" s="164" t="s">
        <v>144</v>
      </c>
      <c r="I471" s="164" t="s">
        <v>177</v>
      </c>
      <c r="J471" s="157" t="s">
        <v>73</v>
      </c>
      <c r="K471" s="159">
        <f>(6+5.7)-0.6-0.3</f>
        <v>10.799999999999999</v>
      </c>
      <c r="L471" s="159">
        <f t="shared" ref="L471:M471" si="178">(6+5.7)-0.6-0.3</f>
        <v>10.799999999999999</v>
      </c>
      <c r="M471" s="159">
        <f t="shared" si="178"/>
        <v>10.799999999999999</v>
      </c>
      <c r="N471" s="217"/>
      <c r="O471" s="217"/>
      <c r="P471" s="217"/>
      <c r="Q471" s="217"/>
      <c r="R471" s="217"/>
      <c r="S471" s="217"/>
    </row>
    <row r="472" spans="2:19" s="218" customFormat="1" ht="31.2">
      <c r="B472" s="219" t="s">
        <v>123</v>
      </c>
      <c r="C472" s="157" t="s">
        <v>117</v>
      </c>
      <c r="D472" s="157" t="s">
        <v>96</v>
      </c>
      <c r="E472" s="157" t="s">
        <v>63</v>
      </c>
      <c r="F472" s="164" t="s">
        <v>176</v>
      </c>
      <c r="G472" s="164" t="s">
        <v>152</v>
      </c>
      <c r="H472" s="164" t="s">
        <v>144</v>
      </c>
      <c r="I472" s="164" t="s">
        <v>177</v>
      </c>
      <c r="J472" s="158" t="s">
        <v>100</v>
      </c>
      <c r="K472" s="159">
        <f>K473</f>
        <v>342.9</v>
      </c>
      <c r="L472" s="159">
        <f t="shared" ref="L472:M472" si="179">L473</f>
        <v>342.9</v>
      </c>
      <c r="M472" s="159">
        <f t="shared" si="179"/>
        <v>342.9</v>
      </c>
      <c r="N472" s="217"/>
      <c r="O472" s="217"/>
      <c r="P472" s="217"/>
      <c r="Q472" s="217"/>
      <c r="R472" s="217"/>
      <c r="S472" s="217"/>
    </row>
    <row r="473" spans="2:19" s="218" customFormat="1" ht="31.2">
      <c r="B473" s="220" t="s">
        <v>99</v>
      </c>
      <c r="C473" s="157" t="s">
        <v>117</v>
      </c>
      <c r="D473" s="157" t="s">
        <v>96</v>
      </c>
      <c r="E473" s="157" t="s">
        <v>63</v>
      </c>
      <c r="F473" s="164" t="s">
        <v>176</v>
      </c>
      <c r="G473" s="164" t="s">
        <v>152</v>
      </c>
      <c r="H473" s="164" t="s">
        <v>144</v>
      </c>
      <c r="I473" s="164" t="s">
        <v>177</v>
      </c>
      <c r="J473" s="158" t="s">
        <v>101</v>
      </c>
      <c r="K473" s="159">
        <f>342.9</f>
        <v>342.9</v>
      </c>
      <c r="L473" s="159">
        <f t="shared" ref="L473:M473" si="180">342.9</f>
        <v>342.9</v>
      </c>
      <c r="M473" s="159">
        <f t="shared" si="180"/>
        <v>342.9</v>
      </c>
      <c r="N473" s="217"/>
      <c r="O473" s="217"/>
      <c r="P473" s="217"/>
      <c r="Q473" s="217"/>
      <c r="R473" s="217"/>
      <c r="S473" s="217"/>
    </row>
    <row r="474" spans="2:19" s="214" customFormat="1" ht="15.6">
      <c r="B474" s="221" t="s">
        <v>444</v>
      </c>
      <c r="C474" s="157" t="s">
        <v>117</v>
      </c>
      <c r="D474" s="146" t="s">
        <v>96</v>
      </c>
      <c r="E474" s="146" t="s">
        <v>86</v>
      </c>
      <c r="F474" s="147"/>
      <c r="G474" s="147"/>
      <c r="H474" s="147"/>
      <c r="I474" s="147"/>
      <c r="J474" s="154"/>
      <c r="K474" s="148">
        <f>K475</f>
        <v>51.3</v>
      </c>
      <c r="L474" s="148">
        <f t="shared" ref="L474:M475" si="181">L475</f>
        <v>51.3</v>
      </c>
      <c r="M474" s="148">
        <f t="shared" si="181"/>
        <v>51.3</v>
      </c>
      <c r="N474" s="213"/>
      <c r="O474" s="213"/>
      <c r="P474" s="213"/>
      <c r="Q474" s="213"/>
      <c r="R474" s="213"/>
      <c r="S474" s="213"/>
    </row>
    <row r="475" spans="2:19" s="214" customFormat="1" ht="15.6">
      <c r="B475" s="222" t="s">
        <v>445</v>
      </c>
      <c r="C475" s="157" t="s">
        <v>117</v>
      </c>
      <c r="D475" s="157" t="s">
        <v>96</v>
      </c>
      <c r="E475" s="157" t="s">
        <v>86</v>
      </c>
      <c r="F475" s="164" t="s">
        <v>176</v>
      </c>
      <c r="G475" s="157">
        <v>5</v>
      </c>
      <c r="H475" s="164" t="s">
        <v>144</v>
      </c>
      <c r="I475" s="164" t="s">
        <v>145</v>
      </c>
      <c r="J475" s="154"/>
      <c r="K475" s="148">
        <f>K476</f>
        <v>51.3</v>
      </c>
      <c r="L475" s="148">
        <f t="shared" si="181"/>
        <v>51.3</v>
      </c>
      <c r="M475" s="148">
        <f t="shared" si="181"/>
        <v>51.3</v>
      </c>
      <c r="N475" s="213"/>
      <c r="O475" s="213"/>
      <c r="P475" s="213"/>
      <c r="Q475" s="213"/>
      <c r="R475" s="213"/>
      <c r="S475" s="213"/>
    </row>
    <row r="476" spans="2:19" s="218" customFormat="1" ht="31.2">
      <c r="B476" s="222" t="s">
        <v>446</v>
      </c>
      <c r="C476" s="157" t="s">
        <v>117</v>
      </c>
      <c r="D476" s="157" t="s">
        <v>96</v>
      </c>
      <c r="E476" s="157" t="s">
        <v>86</v>
      </c>
      <c r="F476" s="223" t="s">
        <v>176</v>
      </c>
      <c r="G476" s="157">
        <v>5</v>
      </c>
      <c r="H476" s="223" t="s">
        <v>144</v>
      </c>
      <c r="I476" s="223" t="s">
        <v>447</v>
      </c>
      <c r="J476" s="158"/>
      <c r="K476" s="159">
        <f>K477+K479</f>
        <v>51.3</v>
      </c>
      <c r="L476" s="159">
        <f t="shared" ref="L476:M476" si="182">L477+L479</f>
        <v>51.3</v>
      </c>
      <c r="M476" s="159">
        <f t="shared" si="182"/>
        <v>51.3</v>
      </c>
      <c r="N476" s="217"/>
      <c r="O476" s="217"/>
      <c r="P476" s="217"/>
      <c r="Q476" s="217"/>
      <c r="R476" s="217"/>
      <c r="S476" s="217"/>
    </row>
    <row r="477" spans="2:19" s="218" customFormat="1" ht="46.8">
      <c r="B477" s="162" t="s">
        <v>148</v>
      </c>
      <c r="C477" s="157" t="s">
        <v>117</v>
      </c>
      <c r="D477" s="157" t="s">
        <v>96</v>
      </c>
      <c r="E477" s="157" t="s">
        <v>86</v>
      </c>
      <c r="F477" s="223" t="s">
        <v>176</v>
      </c>
      <c r="G477" s="157">
        <v>5</v>
      </c>
      <c r="H477" s="223" t="s">
        <v>144</v>
      </c>
      <c r="I477" s="223" t="s">
        <v>447</v>
      </c>
      <c r="J477" s="186">
        <v>200</v>
      </c>
      <c r="K477" s="159">
        <f>K478</f>
        <v>0.89999999999999991</v>
      </c>
      <c r="L477" s="159">
        <f t="shared" ref="L477:M477" si="183">L478</f>
        <v>0.89999999999999991</v>
      </c>
      <c r="M477" s="159">
        <f t="shared" si="183"/>
        <v>0.89999999999999991</v>
      </c>
      <c r="N477" s="217"/>
      <c r="O477" s="217"/>
      <c r="P477" s="217"/>
      <c r="Q477" s="217"/>
      <c r="R477" s="217"/>
      <c r="S477" s="217"/>
    </row>
    <row r="478" spans="2:19" s="218" customFormat="1" ht="46.8">
      <c r="B478" s="162" t="s">
        <v>72</v>
      </c>
      <c r="C478" s="157" t="s">
        <v>117</v>
      </c>
      <c r="D478" s="157" t="s">
        <v>96</v>
      </c>
      <c r="E478" s="157" t="s">
        <v>86</v>
      </c>
      <c r="F478" s="223" t="s">
        <v>176</v>
      </c>
      <c r="G478" s="157">
        <v>5</v>
      </c>
      <c r="H478" s="223" t="s">
        <v>144</v>
      </c>
      <c r="I478" s="223" t="s">
        <v>447</v>
      </c>
      <c r="J478" s="186">
        <v>240</v>
      </c>
      <c r="K478" s="159">
        <f>0+0.6+0.3</f>
        <v>0.89999999999999991</v>
      </c>
      <c r="L478" s="159">
        <f t="shared" ref="L478:M478" si="184">0+0.6+0.3</f>
        <v>0.89999999999999991</v>
      </c>
      <c r="M478" s="159">
        <f t="shared" si="184"/>
        <v>0.89999999999999991</v>
      </c>
      <c r="N478" s="217"/>
      <c r="O478" s="217"/>
      <c r="P478" s="217"/>
      <c r="Q478" s="217"/>
      <c r="R478" s="217"/>
      <c r="S478" s="217"/>
    </row>
    <row r="479" spans="2:19" s="218" customFormat="1" ht="31.2">
      <c r="B479" s="219" t="s">
        <v>123</v>
      </c>
      <c r="C479" s="157" t="s">
        <v>117</v>
      </c>
      <c r="D479" s="157" t="s">
        <v>96</v>
      </c>
      <c r="E479" s="157" t="s">
        <v>86</v>
      </c>
      <c r="F479" s="223" t="s">
        <v>176</v>
      </c>
      <c r="G479" s="157">
        <v>5</v>
      </c>
      <c r="H479" s="223" t="s">
        <v>144</v>
      </c>
      <c r="I479" s="223" t="s">
        <v>447</v>
      </c>
      <c r="J479" s="158" t="s">
        <v>100</v>
      </c>
      <c r="K479" s="159">
        <f>K480</f>
        <v>50.4</v>
      </c>
      <c r="L479" s="159">
        <f t="shared" ref="L479:M479" si="185">L480</f>
        <v>50.4</v>
      </c>
      <c r="M479" s="159">
        <f t="shared" si="185"/>
        <v>50.4</v>
      </c>
      <c r="N479" s="217"/>
      <c r="O479" s="217"/>
      <c r="P479" s="217"/>
      <c r="Q479" s="217"/>
      <c r="R479" s="217"/>
      <c r="S479" s="217"/>
    </row>
    <row r="480" spans="2:19" s="218" customFormat="1" ht="31.2">
      <c r="B480" s="220" t="s">
        <v>99</v>
      </c>
      <c r="C480" s="157" t="s">
        <v>117</v>
      </c>
      <c r="D480" s="157" t="s">
        <v>96</v>
      </c>
      <c r="E480" s="157" t="s">
        <v>86</v>
      </c>
      <c r="F480" s="223" t="s">
        <v>176</v>
      </c>
      <c r="G480" s="157">
        <v>5</v>
      </c>
      <c r="H480" s="223" t="s">
        <v>144</v>
      </c>
      <c r="I480" s="223" t="s">
        <v>447</v>
      </c>
      <c r="J480" s="158" t="s">
        <v>101</v>
      </c>
      <c r="K480" s="159">
        <f>0+50.4</f>
        <v>50.4</v>
      </c>
      <c r="L480" s="159">
        <f t="shared" ref="L480:M480" si="186">0+50.4</f>
        <v>50.4</v>
      </c>
      <c r="M480" s="159">
        <f t="shared" si="186"/>
        <v>50.4</v>
      </c>
      <c r="N480" s="217"/>
      <c r="O480" s="217"/>
      <c r="P480" s="217"/>
      <c r="Q480" s="217"/>
      <c r="R480" s="217"/>
      <c r="S480" s="217"/>
    </row>
    <row r="481" spans="2:19" s="214" customFormat="1" ht="15.6">
      <c r="B481" s="150" t="s">
        <v>124</v>
      </c>
      <c r="C481" s="157" t="s">
        <v>117</v>
      </c>
      <c r="D481" s="146" t="s">
        <v>125</v>
      </c>
      <c r="E481" s="146"/>
      <c r="F481" s="146"/>
      <c r="G481" s="146"/>
      <c r="H481" s="146"/>
      <c r="I481" s="146"/>
      <c r="J481" s="146"/>
      <c r="K481" s="148">
        <f t="shared" ref="K481:M486" si="187">K482</f>
        <v>90</v>
      </c>
      <c r="L481" s="148">
        <f t="shared" si="187"/>
        <v>90</v>
      </c>
      <c r="M481" s="148">
        <f t="shared" si="187"/>
        <v>90</v>
      </c>
      <c r="N481" s="213"/>
      <c r="O481" s="213"/>
      <c r="P481" s="213"/>
      <c r="Q481" s="213"/>
      <c r="R481" s="213"/>
      <c r="S481" s="213"/>
    </row>
    <row r="482" spans="2:19" s="214" customFormat="1" ht="46.8">
      <c r="B482" s="150" t="s">
        <v>126</v>
      </c>
      <c r="C482" s="157" t="s">
        <v>117</v>
      </c>
      <c r="D482" s="146" t="s">
        <v>125</v>
      </c>
      <c r="E482" s="146" t="s">
        <v>85</v>
      </c>
      <c r="F482" s="146"/>
      <c r="G482" s="146"/>
      <c r="H482" s="146"/>
      <c r="I482" s="146"/>
      <c r="J482" s="146"/>
      <c r="K482" s="148">
        <f t="shared" si="187"/>
        <v>90</v>
      </c>
      <c r="L482" s="148">
        <f t="shared" si="187"/>
        <v>90</v>
      </c>
      <c r="M482" s="148">
        <f t="shared" si="187"/>
        <v>90</v>
      </c>
      <c r="N482" s="213"/>
      <c r="O482" s="213"/>
      <c r="P482" s="213"/>
      <c r="Q482" s="213"/>
      <c r="R482" s="213"/>
      <c r="S482" s="213"/>
    </row>
    <row r="483" spans="2:19" s="218" customFormat="1" ht="31.2">
      <c r="B483" s="163" t="s">
        <v>178</v>
      </c>
      <c r="C483" s="157" t="s">
        <v>117</v>
      </c>
      <c r="D483" s="157" t="s">
        <v>125</v>
      </c>
      <c r="E483" s="157" t="s">
        <v>85</v>
      </c>
      <c r="F483" s="164" t="s">
        <v>179</v>
      </c>
      <c r="G483" s="164" t="s">
        <v>143</v>
      </c>
      <c r="H483" s="164" t="s">
        <v>144</v>
      </c>
      <c r="I483" s="164" t="s">
        <v>145</v>
      </c>
      <c r="J483" s="157"/>
      <c r="K483" s="159">
        <f t="shared" si="187"/>
        <v>90</v>
      </c>
      <c r="L483" s="159">
        <f t="shared" si="187"/>
        <v>90</v>
      </c>
      <c r="M483" s="159">
        <f t="shared" si="187"/>
        <v>90</v>
      </c>
      <c r="N483" s="217"/>
      <c r="O483" s="217"/>
      <c r="P483" s="217"/>
      <c r="Q483" s="217"/>
      <c r="R483" s="217"/>
      <c r="S483" s="217"/>
    </row>
    <row r="484" spans="2:19" s="218" customFormat="1" ht="46.8">
      <c r="B484" s="179" t="s">
        <v>82</v>
      </c>
      <c r="C484" s="157" t="s">
        <v>117</v>
      </c>
      <c r="D484" s="157" t="s">
        <v>125</v>
      </c>
      <c r="E484" s="157" t="s">
        <v>85</v>
      </c>
      <c r="F484" s="164" t="s">
        <v>179</v>
      </c>
      <c r="G484" s="164" t="s">
        <v>59</v>
      </c>
      <c r="H484" s="164" t="s">
        <v>144</v>
      </c>
      <c r="I484" s="164" t="s">
        <v>145</v>
      </c>
      <c r="J484" s="157"/>
      <c r="K484" s="159">
        <f t="shared" si="187"/>
        <v>90</v>
      </c>
      <c r="L484" s="159">
        <f t="shared" si="187"/>
        <v>90</v>
      </c>
      <c r="M484" s="159">
        <f t="shared" si="187"/>
        <v>90</v>
      </c>
      <c r="N484" s="217"/>
      <c r="O484" s="217"/>
      <c r="P484" s="217"/>
      <c r="Q484" s="217"/>
      <c r="R484" s="217"/>
      <c r="S484" s="217"/>
    </row>
    <row r="485" spans="2:19" s="218" customFormat="1" ht="46.8">
      <c r="B485" s="162" t="s">
        <v>180</v>
      </c>
      <c r="C485" s="157" t="s">
        <v>117</v>
      </c>
      <c r="D485" s="157" t="s">
        <v>125</v>
      </c>
      <c r="E485" s="157" t="s">
        <v>85</v>
      </c>
      <c r="F485" s="164" t="s">
        <v>179</v>
      </c>
      <c r="G485" s="164" t="s">
        <v>59</v>
      </c>
      <c r="H485" s="164" t="s">
        <v>144</v>
      </c>
      <c r="I485" s="164" t="s">
        <v>181</v>
      </c>
      <c r="J485" s="157"/>
      <c r="K485" s="159">
        <f t="shared" si="187"/>
        <v>90</v>
      </c>
      <c r="L485" s="159">
        <f t="shared" si="187"/>
        <v>90</v>
      </c>
      <c r="M485" s="159">
        <f t="shared" si="187"/>
        <v>90</v>
      </c>
      <c r="N485" s="217"/>
      <c r="O485" s="217"/>
      <c r="P485" s="217"/>
      <c r="Q485" s="217"/>
      <c r="R485" s="217"/>
      <c r="S485" s="217"/>
    </row>
    <row r="486" spans="2:19" s="218" customFormat="1" ht="15.6">
      <c r="B486" s="162" t="s">
        <v>74</v>
      </c>
      <c r="C486" s="157" t="s">
        <v>117</v>
      </c>
      <c r="D486" s="157" t="s">
        <v>125</v>
      </c>
      <c r="E486" s="157" t="s">
        <v>85</v>
      </c>
      <c r="F486" s="164" t="s">
        <v>179</v>
      </c>
      <c r="G486" s="164" t="s">
        <v>59</v>
      </c>
      <c r="H486" s="164" t="s">
        <v>144</v>
      </c>
      <c r="I486" s="164" t="s">
        <v>181</v>
      </c>
      <c r="J486" s="224" t="s">
        <v>75</v>
      </c>
      <c r="K486" s="225">
        <f t="shared" si="187"/>
        <v>90</v>
      </c>
      <c r="L486" s="225">
        <f t="shared" si="187"/>
        <v>90</v>
      </c>
      <c r="M486" s="225">
        <f t="shared" si="187"/>
        <v>90</v>
      </c>
      <c r="N486" s="217"/>
      <c r="O486" s="217"/>
      <c r="P486" s="217"/>
      <c r="Q486" s="217"/>
      <c r="R486" s="217"/>
      <c r="S486" s="217"/>
    </row>
    <row r="487" spans="2:19" s="218" customFormat="1" ht="62.4">
      <c r="B487" s="176" t="s">
        <v>92</v>
      </c>
      <c r="C487" s="157" t="s">
        <v>117</v>
      </c>
      <c r="D487" s="157" t="s">
        <v>125</v>
      </c>
      <c r="E487" s="157" t="s">
        <v>85</v>
      </c>
      <c r="F487" s="164" t="s">
        <v>179</v>
      </c>
      <c r="G487" s="164" t="s">
        <v>59</v>
      </c>
      <c r="H487" s="164" t="s">
        <v>144</v>
      </c>
      <c r="I487" s="164" t="s">
        <v>181</v>
      </c>
      <c r="J487" s="224" t="s">
        <v>93</v>
      </c>
      <c r="K487" s="225">
        <f>90</f>
        <v>90</v>
      </c>
      <c r="L487" s="225">
        <f>90</f>
        <v>90</v>
      </c>
      <c r="M487" s="225">
        <f>90</f>
        <v>90</v>
      </c>
      <c r="N487" s="217"/>
      <c r="O487" s="217"/>
      <c r="P487" s="217"/>
      <c r="Q487" s="217"/>
      <c r="R487" s="217"/>
      <c r="S487" s="217"/>
    </row>
    <row r="488" spans="2:19" s="214" customFormat="1" ht="46.8">
      <c r="B488" s="226" t="s">
        <v>129</v>
      </c>
      <c r="C488" s="227" t="s">
        <v>130</v>
      </c>
      <c r="D488" s="228"/>
      <c r="E488" s="228"/>
      <c r="F488" s="147"/>
      <c r="G488" s="147"/>
      <c r="H488" s="147"/>
      <c r="I488" s="147"/>
      <c r="J488" s="154"/>
      <c r="K488" s="148">
        <f>K489+K532</f>
        <v>33349.899999999994</v>
      </c>
      <c r="L488" s="148">
        <f t="shared" ref="L488:M488" si="188">L489+L532</f>
        <v>34644.013200000001</v>
      </c>
      <c r="M488" s="148">
        <f t="shared" si="188"/>
        <v>36285.228000000003</v>
      </c>
      <c r="N488" s="213"/>
      <c r="O488" s="213"/>
      <c r="P488" s="213"/>
      <c r="Q488" s="213"/>
      <c r="R488" s="213"/>
      <c r="S488" s="213"/>
    </row>
    <row r="489" spans="2:19" s="214" customFormat="1" ht="15.6" hidden="1">
      <c r="B489" s="226" t="s">
        <v>94</v>
      </c>
      <c r="C489" s="227" t="s">
        <v>130</v>
      </c>
      <c r="D489" s="227" t="s">
        <v>78</v>
      </c>
      <c r="E489" s="227"/>
      <c r="F489" s="227"/>
      <c r="G489" s="227"/>
      <c r="H489" s="227"/>
      <c r="I489" s="227"/>
      <c r="J489" s="227"/>
      <c r="K489" s="229">
        <f>K490</f>
        <v>0</v>
      </c>
      <c r="L489" s="229">
        <f t="shared" ref="L489:M490" si="189">L490</f>
        <v>0</v>
      </c>
      <c r="M489" s="229">
        <f t="shared" si="189"/>
        <v>0</v>
      </c>
      <c r="N489" s="213"/>
      <c r="O489" s="213"/>
      <c r="P489" s="213"/>
      <c r="Q489" s="213"/>
      <c r="R489" s="213"/>
      <c r="S489" s="213"/>
    </row>
    <row r="490" spans="2:19" s="214" customFormat="1" ht="31.2" hidden="1">
      <c r="B490" s="230" t="s">
        <v>223</v>
      </c>
      <c r="C490" s="227" t="s">
        <v>130</v>
      </c>
      <c r="D490" s="227" t="s">
        <v>78</v>
      </c>
      <c r="E490" s="227" t="s">
        <v>86</v>
      </c>
      <c r="F490" s="227"/>
      <c r="G490" s="227"/>
      <c r="H490" s="227"/>
      <c r="I490" s="227"/>
      <c r="J490" s="227"/>
      <c r="K490" s="229">
        <f>K491</f>
        <v>0</v>
      </c>
      <c r="L490" s="229">
        <f t="shared" si="189"/>
        <v>0</v>
      </c>
      <c r="M490" s="229">
        <f t="shared" si="189"/>
        <v>0</v>
      </c>
      <c r="N490" s="213"/>
      <c r="O490" s="213"/>
      <c r="P490" s="213"/>
      <c r="Q490" s="213"/>
      <c r="R490" s="213"/>
      <c r="S490" s="213"/>
    </row>
    <row r="491" spans="2:19" s="214" customFormat="1" ht="78" hidden="1">
      <c r="B491" s="201" t="s">
        <v>224</v>
      </c>
      <c r="C491" s="227" t="s">
        <v>130</v>
      </c>
      <c r="D491" s="227" t="s">
        <v>78</v>
      </c>
      <c r="E491" s="227" t="s">
        <v>86</v>
      </c>
      <c r="F491" s="202" t="s">
        <v>225</v>
      </c>
      <c r="G491" s="202" t="s">
        <v>143</v>
      </c>
      <c r="H491" s="202" t="s">
        <v>144</v>
      </c>
      <c r="I491" s="202" t="s">
        <v>145</v>
      </c>
      <c r="J491" s="227"/>
      <c r="K491" s="229">
        <f>K492+K524</f>
        <v>0</v>
      </c>
      <c r="L491" s="229">
        <f t="shared" ref="L491:M491" si="190">L492+L524</f>
        <v>0</v>
      </c>
      <c r="M491" s="229">
        <f t="shared" si="190"/>
        <v>0</v>
      </c>
      <c r="N491" s="213"/>
      <c r="O491" s="213"/>
      <c r="P491" s="213"/>
      <c r="Q491" s="213"/>
      <c r="R491" s="213"/>
      <c r="S491" s="213"/>
    </row>
    <row r="492" spans="2:19" s="214" customFormat="1" ht="78" hidden="1">
      <c r="B492" s="231" t="s">
        <v>226</v>
      </c>
      <c r="C492" s="232" t="s">
        <v>130</v>
      </c>
      <c r="D492" s="232" t="s">
        <v>78</v>
      </c>
      <c r="E492" s="232" t="s">
        <v>86</v>
      </c>
      <c r="F492" s="199" t="s">
        <v>225</v>
      </c>
      <c r="G492" s="199" t="s">
        <v>158</v>
      </c>
      <c r="H492" s="199" t="s">
        <v>144</v>
      </c>
      <c r="I492" s="199" t="s">
        <v>145</v>
      </c>
      <c r="J492" s="232"/>
      <c r="K492" s="233">
        <f>K493+K503+K510+K517</f>
        <v>0</v>
      </c>
      <c r="L492" s="233">
        <f t="shared" ref="L492:M492" si="191">L493+L503+L510+L517</f>
        <v>0</v>
      </c>
      <c r="M492" s="233">
        <f t="shared" si="191"/>
        <v>0</v>
      </c>
      <c r="N492" s="213"/>
      <c r="O492" s="213"/>
      <c r="P492" s="213"/>
      <c r="Q492" s="213"/>
      <c r="R492" s="213"/>
      <c r="S492" s="213"/>
    </row>
    <row r="493" spans="2:19" s="214" customFormat="1" ht="78" hidden="1">
      <c r="B493" s="198" t="s">
        <v>227</v>
      </c>
      <c r="C493" s="232" t="s">
        <v>130</v>
      </c>
      <c r="D493" s="232" t="s">
        <v>78</v>
      </c>
      <c r="E493" s="232" t="s">
        <v>86</v>
      </c>
      <c r="F493" s="199" t="s">
        <v>225</v>
      </c>
      <c r="G493" s="199" t="s">
        <v>158</v>
      </c>
      <c r="H493" s="199" t="s">
        <v>63</v>
      </c>
      <c r="I493" s="199" t="s">
        <v>145</v>
      </c>
      <c r="J493" s="232"/>
      <c r="K493" s="233">
        <f>K494+K497+K500</f>
        <v>0</v>
      </c>
      <c r="L493" s="233">
        <f t="shared" ref="L493:M493" si="192">L494+L497+L500</f>
        <v>0</v>
      </c>
      <c r="M493" s="233">
        <f t="shared" si="192"/>
        <v>0</v>
      </c>
      <c r="N493" s="213"/>
      <c r="O493" s="213"/>
      <c r="P493" s="213"/>
      <c r="Q493" s="213"/>
      <c r="R493" s="213"/>
      <c r="S493" s="213"/>
    </row>
    <row r="494" spans="2:19" s="214" customFormat="1" ht="62.4" hidden="1">
      <c r="B494" s="176" t="s">
        <v>187</v>
      </c>
      <c r="C494" s="232" t="s">
        <v>130</v>
      </c>
      <c r="D494" s="232" t="s">
        <v>78</v>
      </c>
      <c r="E494" s="232" t="s">
        <v>86</v>
      </c>
      <c r="F494" s="199" t="s">
        <v>225</v>
      </c>
      <c r="G494" s="199" t="s">
        <v>158</v>
      </c>
      <c r="H494" s="199" t="s">
        <v>63</v>
      </c>
      <c r="I494" s="164" t="s">
        <v>188</v>
      </c>
      <c r="J494" s="232"/>
      <c r="K494" s="233">
        <f>K495</f>
        <v>0</v>
      </c>
      <c r="L494" s="233">
        <f t="shared" ref="L494:M495" si="193">L495</f>
        <v>0</v>
      </c>
      <c r="M494" s="233">
        <f t="shared" si="193"/>
        <v>0</v>
      </c>
      <c r="N494" s="213"/>
      <c r="O494" s="213"/>
      <c r="P494" s="213"/>
      <c r="Q494" s="213"/>
      <c r="R494" s="213"/>
      <c r="S494" s="213"/>
    </row>
    <row r="495" spans="2:19" s="214" customFormat="1" ht="46.8" hidden="1">
      <c r="B495" s="162" t="s">
        <v>83</v>
      </c>
      <c r="C495" s="232" t="s">
        <v>130</v>
      </c>
      <c r="D495" s="232" t="s">
        <v>78</v>
      </c>
      <c r="E495" s="232" t="s">
        <v>86</v>
      </c>
      <c r="F495" s="199" t="s">
        <v>225</v>
      </c>
      <c r="G495" s="199" t="s">
        <v>158</v>
      </c>
      <c r="H495" s="199" t="s">
        <v>63</v>
      </c>
      <c r="I495" s="164" t="s">
        <v>188</v>
      </c>
      <c r="J495" s="232" t="s">
        <v>84</v>
      </c>
      <c r="K495" s="233">
        <f>K496</f>
        <v>0</v>
      </c>
      <c r="L495" s="233">
        <f t="shared" si="193"/>
        <v>0</v>
      </c>
      <c r="M495" s="233">
        <f t="shared" si="193"/>
        <v>0</v>
      </c>
      <c r="N495" s="213"/>
      <c r="O495" s="213"/>
      <c r="P495" s="213"/>
      <c r="Q495" s="213"/>
      <c r="R495" s="213"/>
      <c r="S495" s="213"/>
    </row>
    <row r="496" spans="2:19" s="214" customFormat="1" ht="15.6" hidden="1">
      <c r="B496" s="162" t="s">
        <v>131</v>
      </c>
      <c r="C496" s="232" t="s">
        <v>130</v>
      </c>
      <c r="D496" s="232" t="s">
        <v>78</v>
      </c>
      <c r="E496" s="232" t="s">
        <v>86</v>
      </c>
      <c r="F496" s="199" t="s">
        <v>225</v>
      </c>
      <c r="G496" s="199" t="s">
        <v>158</v>
      </c>
      <c r="H496" s="199" t="s">
        <v>63</v>
      </c>
      <c r="I496" s="164" t="s">
        <v>188</v>
      </c>
      <c r="J496" s="232" t="s">
        <v>132</v>
      </c>
      <c r="K496" s="233">
        <f>0</f>
        <v>0</v>
      </c>
      <c r="L496" s="233">
        <f>0</f>
        <v>0</v>
      </c>
      <c r="M496" s="233">
        <f>0</f>
        <v>0</v>
      </c>
      <c r="N496" s="213"/>
      <c r="O496" s="213"/>
      <c r="P496" s="213"/>
      <c r="Q496" s="213"/>
      <c r="R496" s="213"/>
      <c r="S496" s="213"/>
    </row>
    <row r="497" spans="2:19" s="214" customFormat="1" ht="62.4" hidden="1">
      <c r="B497" s="176" t="s">
        <v>189</v>
      </c>
      <c r="C497" s="232" t="s">
        <v>130</v>
      </c>
      <c r="D497" s="232" t="s">
        <v>78</v>
      </c>
      <c r="E497" s="232" t="s">
        <v>86</v>
      </c>
      <c r="F497" s="199" t="s">
        <v>225</v>
      </c>
      <c r="G497" s="199" t="s">
        <v>158</v>
      </c>
      <c r="H497" s="199" t="s">
        <v>63</v>
      </c>
      <c r="I497" s="164" t="s">
        <v>190</v>
      </c>
      <c r="J497" s="232"/>
      <c r="K497" s="233">
        <f>K498</f>
        <v>0</v>
      </c>
      <c r="L497" s="233">
        <f t="shared" ref="L497:M498" si="194">L498</f>
        <v>0</v>
      </c>
      <c r="M497" s="233">
        <f t="shared" si="194"/>
        <v>0</v>
      </c>
      <c r="N497" s="213"/>
      <c r="O497" s="213"/>
      <c r="P497" s="213"/>
      <c r="Q497" s="213"/>
      <c r="R497" s="213"/>
      <c r="S497" s="213"/>
    </row>
    <row r="498" spans="2:19" s="214" customFormat="1" ht="46.8" hidden="1">
      <c r="B498" s="162" t="s">
        <v>83</v>
      </c>
      <c r="C498" s="232" t="s">
        <v>130</v>
      </c>
      <c r="D498" s="232" t="s">
        <v>78</v>
      </c>
      <c r="E498" s="232" t="s">
        <v>86</v>
      </c>
      <c r="F498" s="199" t="s">
        <v>225</v>
      </c>
      <c r="G498" s="199" t="s">
        <v>158</v>
      </c>
      <c r="H498" s="199" t="s">
        <v>63</v>
      </c>
      <c r="I498" s="164" t="s">
        <v>190</v>
      </c>
      <c r="J498" s="232" t="s">
        <v>84</v>
      </c>
      <c r="K498" s="233">
        <f>K499</f>
        <v>0</v>
      </c>
      <c r="L498" s="233">
        <f t="shared" si="194"/>
        <v>0</v>
      </c>
      <c r="M498" s="233">
        <f t="shared" si="194"/>
        <v>0</v>
      </c>
      <c r="N498" s="213"/>
      <c r="O498" s="213"/>
      <c r="P498" s="213"/>
      <c r="Q498" s="213"/>
      <c r="R498" s="213"/>
      <c r="S498" s="213"/>
    </row>
    <row r="499" spans="2:19" s="214" customFormat="1" ht="15.6" hidden="1">
      <c r="B499" s="162" t="s">
        <v>131</v>
      </c>
      <c r="C499" s="232" t="s">
        <v>130</v>
      </c>
      <c r="D499" s="232" t="s">
        <v>78</v>
      </c>
      <c r="E499" s="232" t="s">
        <v>86</v>
      </c>
      <c r="F499" s="199" t="s">
        <v>225</v>
      </c>
      <c r="G499" s="199" t="s">
        <v>158</v>
      </c>
      <c r="H499" s="199" t="s">
        <v>63</v>
      </c>
      <c r="I499" s="164" t="s">
        <v>190</v>
      </c>
      <c r="J499" s="232" t="s">
        <v>132</v>
      </c>
      <c r="K499" s="233">
        <f>5-5</f>
        <v>0</v>
      </c>
      <c r="L499" s="233">
        <f t="shared" ref="L499:M499" si="195">5-5</f>
        <v>0</v>
      </c>
      <c r="M499" s="233">
        <f t="shared" si="195"/>
        <v>0</v>
      </c>
      <c r="N499" s="213"/>
      <c r="O499" s="213"/>
      <c r="P499" s="213"/>
      <c r="Q499" s="213"/>
      <c r="R499" s="213"/>
      <c r="S499" s="213"/>
    </row>
    <row r="500" spans="2:19" s="214" customFormat="1" ht="46.8" hidden="1">
      <c r="B500" s="176" t="s">
        <v>228</v>
      </c>
      <c r="C500" s="232" t="s">
        <v>130</v>
      </c>
      <c r="D500" s="232" t="s">
        <v>78</v>
      </c>
      <c r="E500" s="232" t="s">
        <v>86</v>
      </c>
      <c r="F500" s="199" t="s">
        <v>225</v>
      </c>
      <c r="G500" s="199" t="s">
        <v>158</v>
      </c>
      <c r="H500" s="199" t="s">
        <v>63</v>
      </c>
      <c r="I500" s="164" t="s">
        <v>229</v>
      </c>
      <c r="J500" s="232"/>
      <c r="K500" s="233">
        <f>K501</f>
        <v>0</v>
      </c>
      <c r="L500" s="233">
        <f t="shared" ref="L500:M501" si="196">L501</f>
        <v>0</v>
      </c>
      <c r="M500" s="233">
        <f t="shared" si="196"/>
        <v>0</v>
      </c>
      <c r="N500" s="213"/>
      <c r="O500" s="213"/>
      <c r="P500" s="213"/>
      <c r="Q500" s="213"/>
      <c r="R500" s="213"/>
      <c r="S500" s="213"/>
    </row>
    <row r="501" spans="2:19" s="214" customFormat="1" ht="46.8" hidden="1">
      <c r="B501" s="162" t="s">
        <v>83</v>
      </c>
      <c r="C501" s="232" t="s">
        <v>130</v>
      </c>
      <c r="D501" s="232" t="s">
        <v>78</v>
      </c>
      <c r="E501" s="232" t="s">
        <v>86</v>
      </c>
      <c r="F501" s="199" t="s">
        <v>225</v>
      </c>
      <c r="G501" s="199" t="s">
        <v>158</v>
      </c>
      <c r="H501" s="199" t="s">
        <v>63</v>
      </c>
      <c r="I501" s="164" t="s">
        <v>229</v>
      </c>
      <c r="J501" s="232" t="s">
        <v>84</v>
      </c>
      <c r="K501" s="233">
        <f>K502</f>
        <v>0</v>
      </c>
      <c r="L501" s="233">
        <f t="shared" si="196"/>
        <v>0</v>
      </c>
      <c r="M501" s="233">
        <f t="shared" si="196"/>
        <v>0</v>
      </c>
      <c r="N501" s="213"/>
      <c r="O501" s="213"/>
      <c r="P501" s="213"/>
      <c r="Q501" s="213"/>
      <c r="R501" s="213"/>
      <c r="S501" s="213"/>
    </row>
    <row r="502" spans="2:19" s="214" customFormat="1" ht="15.6" hidden="1">
      <c r="B502" s="162" t="s">
        <v>131</v>
      </c>
      <c r="C502" s="232" t="s">
        <v>130</v>
      </c>
      <c r="D502" s="232" t="s">
        <v>78</v>
      </c>
      <c r="E502" s="232" t="s">
        <v>86</v>
      </c>
      <c r="F502" s="199" t="s">
        <v>225</v>
      </c>
      <c r="G502" s="199" t="s">
        <v>158</v>
      </c>
      <c r="H502" s="199" t="s">
        <v>63</v>
      </c>
      <c r="I502" s="164" t="s">
        <v>229</v>
      </c>
      <c r="J502" s="232" t="s">
        <v>132</v>
      </c>
      <c r="K502" s="233">
        <f>3.8-3.8</f>
        <v>0</v>
      </c>
      <c r="L502" s="233">
        <f t="shared" ref="L502:M502" si="197">3.8-3.8</f>
        <v>0</v>
      </c>
      <c r="M502" s="233">
        <f t="shared" si="197"/>
        <v>0</v>
      </c>
      <c r="N502" s="213"/>
      <c r="O502" s="213"/>
      <c r="P502" s="213"/>
      <c r="Q502" s="213"/>
      <c r="R502" s="213"/>
      <c r="S502" s="213"/>
    </row>
    <row r="503" spans="2:19" s="214" customFormat="1" ht="46.8" hidden="1">
      <c r="B503" s="198" t="s">
        <v>230</v>
      </c>
      <c r="C503" s="232" t="s">
        <v>130</v>
      </c>
      <c r="D503" s="232" t="s">
        <v>78</v>
      </c>
      <c r="E503" s="232" t="s">
        <v>86</v>
      </c>
      <c r="F503" s="199" t="s">
        <v>225</v>
      </c>
      <c r="G503" s="199" t="s">
        <v>158</v>
      </c>
      <c r="H503" s="199" t="s">
        <v>85</v>
      </c>
      <c r="I503" s="199" t="s">
        <v>145</v>
      </c>
      <c r="J503" s="232"/>
      <c r="K503" s="233">
        <f>K504+K507</f>
        <v>0</v>
      </c>
      <c r="L503" s="233">
        <f t="shared" ref="L503:M503" si="198">L504+L507</f>
        <v>0</v>
      </c>
      <c r="M503" s="233">
        <f t="shared" si="198"/>
        <v>0</v>
      </c>
      <c r="N503" s="213"/>
      <c r="O503" s="213"/>
      <c r="P503" s="213"/>
      <c r="Q503" s="213"/>
      <c r="R503" s="213"/>
      <c r="S503" s="213"/>
    </row>
    <row r="504" spans="2:19" s="214" customFormat="1" ht="62.4" hidden="1">
      <c r="B504" s="176" t="s">
        <v>187</v>
      </c>
      <c r="C504" s="232" t="s">
        <v>130</v>
      </c>
      <c r="D504" s="232" t="s">
        <v>78</v>
      </c>
      <c r="E504" s="232" t="s">
        <v>86</v>
      </c>
      <c r="F504" s="199" t="s">
        <v>225</v>
      </c>
      <c r="G504" s="199" t="s">
        <v>158</v>
      </c>
      <c r="H504" s="199" t="s">
        <v>85</v>
      </c>
      <c r="I504" s="164" t="s">
        <v>188</v>
      </c>
      <c r="J504" s="232"/>
      <c r="K504" s="233">
        <f>K505</f>
        <v>0</v>
      </c>
      <c r="L504" s="233">
        <f t="shared" ref="L504:M505" si="199">L505</f>
        <v>0</v>
      </c>
      <c r="M504" s="233">
        <f t="shared" si="199"/>
        <v>0</v>
      </c>
      <c r="N504" s="213"/>
      <c r="O504" s="213"/>
      <c r="P504" s="213"/>
      <c r="Q504" s="213"/>
      <c r="R504" s="213"/>
      <c r="S504" s="213"/>
    </row>
    <row r="505" spans="2:19" s="214" customFormat="1" ht="46.8" hidden="1">
      <c r="B505" s="162" t="s">
        <v>83</v>
      </c>
      <c r="C505" s="232" t="s">
        <v>130</v>
      </c>
      <c r="D505" s="232" t="s">
        <v>78</v>
      </c>
      <c r="E505" s="232" t="s">
        <v>86</v>
      </c>
      <c r="F505" s="199" t="s">
        <v>225</v>
      </c>
      <c r="G505" s="199" t="s">
        <v>158</v>
      </c>
      <c r="H505" s="199" t="s">
        <v>85</v>
      </c>
      <c r="I505" s="164" t="s">
        <v>188</v>
      </c>
      <c r="J505" s="232" t="s">
        <v>84</v>
      </c>
      <c r="K505" s="233">
        <f>K506</f>
        <v>0</v>
      </c>
      <c r="L505" s="233">
        <f t="shared" si="199"/>
        <v>0</v>
      </c>
      <c r="M505" s="233">
        <f t="shared" si="199"/>
        <v>0</v>
      </c>
      <c r="N505" s="213"/>
      <c r="O505" s="213"/>
      <c r="P505" s="213"/>
      <c r="Q505" s="213"/>
      <c r="R505" s="213"/>
      <c r="S505" s="213"/>
    </row>
    <row r="506" spans="2:19" s="214" customFormat="1" ht="15.6" hidden="1">
      <c r="B506" s="162" t="s">
        <v>131</v>
      </c>
      <c r="C506" s="232" t="s">
        <v>130</v>
      </c>
      <c r="D506" s="232" t="s">
        <v>78</v>
      </c>
      <c r="E506" s="232" t="s">
        <v>86</v>
      </c>
      <c r="F506" s="199" t="s">
        <v>225</v>
      </c>
      <c r="G506" s="199" t="s">
        <v>158</v>
      </c>
      <c r="H506" s="199" t="s">
        <v>85</v>
      </c>
      <c r="I506" s="164" t="s">
        <v>188</v>
      </c>
      <c r="J506" s="232" t="s">
        <v>132</v>
      </c>
      <c r="K506" s="233">
        <f>0</f>
        <v>0</v>
      </c>
      <c r="L506" s="233">
        <f>0</f>
        <v>0</v>
      </c>
      <c r="M506" s="233">
        <f>0</f>
        <v>0</v>
      </c>
      <c r="N506" s="213"/>
      <c r="O506" s="213"/>
      <c r="P506" s="213"/>
      <c r="Q506" s="213"/>
      <c r="R506" s="213"/>
      <c r="S506" s="213"/>
    </row>
    <row r="507" spans="2:19" s="214" customFormat="1" ht="46.8" hidden="1">
      <c r="B507" s="176" t="s">
        <v>228</v>
      </c>
      <c r="C507" s="232" t="s">
        <v>130</v>
      </c>
      <c r="D507" s="232" t="s">
        <v>78</v>
      </c>
      <c r="E507" s="232" t="s">
        <v>86</v>
      </c>
      <c r="F507" s="199" t="s">
        <v>225</v>
      </c>
      <c r="G507" s="199" t="s">
        <v>158</v>
      </c>
      <c r="H507" s="199" t="s">
        <v>85</v>
      </c>
      <c r="I507" s="164" t="s">
        <v>229</v>
      </c>
      <c r="J507" s="232"/>
      <c r="K507" s="233">
        <f>K508</f>
        <v>0</v>
      </c>
      <c r="L507" s="233">
        <f t="shared" ref="L507:M508" si="200">L508</f>
        <v>0</v>
      </c>
      <c r="M507" s="233">
        <f t="shared" si="200"/>
        <v>0</v>
      </c>
      <c r="N507" s="213"/>
      <c r="O507" s="213"/>
      <c r="P507" s="213"/>
      <c r="Q507" s="213"/>
      <c r="R507" s="213"/>
      <c r="S507" s="213"/>
    </row>
    <row r="508" spans="2:19" s="214" customFormat="1" ht="46.8" hidden="1">
      <c r="B508" s="162" t="s">
        <v>83</v>
      </c>
      <c r="C508" s="232" t="s">
        <v>130</v>
      </c>
      <c r="D508" s="232" t="s">
        <v>78</v>
      </c>
      <c r="E508" s="232" t="s">
        <v>86</v>
      </c>
      <c r="F508" s="199" t="s">
        <v>225</v>
      </c>
      <c r="G508" s="199" t="s">
        <v>158</v>
      </c>
      <c r="H508" s="199" t="s">
        <v>85</v>
      </c>
      <c r="I508" s="164" t="s">
        <v>229</v>
      </c>
      <c r="J508" s="232" t="s">
        <v>84</v>
      </c>
      <c r="K508" s="233">
        <f>K509</f>
        <v>0</v>
      </c>
      <c r="L508" s="233">
        <f t="shared" si="200"/>
        <v>0</v>
      </c>
      <c r="M508" s="233">
        <f t="shared" si="200"/>
        <v>0</v>
      </c>
      <c r="N508" s="213"/>
      <c r="O508" s="213"/>
      <c r="P508" s="213"/>
      <c r="Q508" s="213"/>
      <c r="R508" s="213"/>
      <c r="S508" s="213"/>
    </row>
    <row r="509" spans="2:19" s="214" customFormat="1" ht="15.6" hidden="1">
      <c r="B509" s="162" t="s">
        <v>131</v>
      </c>
      <c r="C509" s="232" t="s">
        <v>130</v>
      </c>
      <c r="D509" s="232" t="s">
        <v>78</v>
      </c>
      <c r="E509" s="232" t="s">
        <v>86</v>
      </c>
      <c r="F509" s="199" t="s">
        <v>225</v>
      </c>
      <c r="G509" s="199" t="s">
        <v>158</v>
      </c>
      <c r="H509" s="199" t="s">
        <v>85</v>
      </c>
      <c r="I509" s="164" t="s">
        <v>229</v>
      </c>
      <c r="J509" s="232" t="s">
        <v>132</v>
      </c>
      <c r="K509" s="233">
        <f>0</f>
        <v>0</v>
      </c>
      <c r="L509" s="233">
        <f>0</f>
        <v>0</v>
      </c>
      <c r="M509" s="233">
        <f>0</f>
        <v>0</v>
      </c>
      <c r="N509" s="213"/>
      <c r="O509" s="213"/>
      <c r="P509" s="213"/>
      <c r="Q509" s="213"/>
      <c r="R509" s="213"/>
      <c r="S509" s="213"/>
    </row>
    <row r="510" spans="2:19" s="214" customFormat="1" ht="46.8" hidden="1">
      <c r="B510" s="198" t="s">
        <v>231</v>
      </c>
      <c r="C510" s="232" t="s">
        <v>130</v>
      </c>
      <c r="D510" s="232" t="s">
        <v>78</v>
      </c>
      <c r="E510" s="232" t="s">
        <v>86</v>
      </c>
      <c r="F510" s="199" t="s">
        <v>225</v>
      </c>
      <c r="G510" s="199" t="s">
        <v>158</v>
      </c>
      <c r="H510" s="199" t="s">
        <v>86</v>
      </c>
      <c r="I510" s="199" t="s">
        <v>145</v>
      </c>
      <c r="J510" s="232"/>
      <c r="K510" s="233">
        <f>K511+K514</f>
        <v>0</v>
      </c>
      <c r="L510" s="233">
        <f t="shared" ref="L510:M510" si="201">L511+L514</f>
        <v>0</v>
      </c>
      <c r="M510" s="233">
        <f t="shared" si="201"/>
        <v>0</v>
      </c>
      <c r="N510" s="213"/>
      <c r="O510" s="213"/>
      <c r="P510" s="213"/>
      <c r="Q510" s="213"/>
      <c r="R510" s="213"/>
      <c r="S510" s="213"/>
    </row>
    <row r="511" spans="2:19" s="214" customFormat="1" ht="62.4" hidden="1">
      <c r="B511" s="176" t="s">
        <v>187</v>
      </c>
      <c r="C511" s="232" t="s">
        <v>130</v>
      </c>
      <c r="D511" s="232" t="s">
        <v>78</v>
      </c>
      <c r="E511" s="232" t="s">
        <v>86</v>
      </c>
      <c r="F511" s="199" t="s">
        <v>225</v>
      </c>
      <c r="G511" s="199" t="s">
        <v>158</v>
      </c>
      <c r="H511" s="199" t="s">
        <v>86</v>
      </c>
      <c r="I511" s="164" t="s">
        <v>188</v>
      </c>
      <c r="J511" s="232"/>
      <c r="K511" s="233">
        <f>K512</f>
        <v>0</v>
      </c>
      <c r="L511" s="233">
        <f t="shared" ref="L511:M512" si="202">L512</f>
        <v>0</v>
      </c>
      <c r="M511" s="233">
        <f t="shared" si="202"/>
        <v>0</v>
      </c>
      <c r="N511" s="213"/>
      <c r="O511" s="213"/>
      <c r="P511" s="213"/>
      <c r="Q511" s="213"/>
      <c r="R511" s="213"/>
      <c r="S511" s="213"/>
    </row>
    <row r="512" spans="2:19" s="214" customFormat="1" ht="46.8" hidden="1">
      <c r="B512" s="162" t="s">
        <v>83</v>
      </c>
      <c r="C512" s="232" t="s">
        <v>130</v>
      </c>
      <c r="D512" s="232" t="s">
        <v>78</v>
      </c>
      <c r="E512" s="232" t="s">
        <v>86</v>
      </c>
      <c r="F512" s="199" t="s">
        <v>225</v>
      </c>
      <c r="G512" s="199" t="s">
        <v>158</v>
      </c>
      <c r="H512" s="199" t="s">
        <v>86</v>
      </c>
      <c r="I512" s="164" t="s">
        <v>188</v>
      </c>
      <c r="J512" s="232" t="s">
        <v>84</v>
      </c>
      <c r="K512" s="233">
        <f>K513</f>
        <v>0</v>
      </c>
      <c r="L512" s="233">
        <f t="shared" si="202"/>
        <v>0</v>
      </c>
      <c r="M512" s="233">
        <f t="shared" si="202"/>
        <v>0</v>
      </c>
      <c r="N512" s="213"/>
      <c r="O512" s="213"/>
      <c r="P512" s="213"/>
      <c r="Q512" s="213"/>
      <c r="R512" s="213"/>
      <c r="S512" s="213"/>
    </row>
    <row r="513" spans="2:19" s="214" customFormat="1" ht="15.6" hidden="1">
      <c r="B513" s="162" t="s">
        <v>131</v>
      </c>
      <c r="C513" s="232" t="s">
        <v>130</v>
      </c>
      <c r="D513" s="232" t="s">
        <v>78</v>
      </c>
      <c r="E513" s="232" t="s">
        <v>86</v>
      </c>
      <c r="F513" s="199" t="s">
        <v>225</v>
      </c>
      <c r="G513" s="199" t="s">
        <v>158</v>
      </c>
      <c r="H513" s="199" t="s">
        <v>86</v>
      </c>
      <c r="I513" s="164" t="s">
        <v>188</v>
      </c>
      <c r="J513" s="232" t="s">
        <v>132</v>
      </c>
      <c r="K513" s="233">
        <f>0</f>
        <v>0</v>
      </c>
      <c r="L513" s="233">
        <f>0</f>
        <v>0</v>
      </c>
      <c r="M513" s="233">
        <f>0</f>
        <v>0</v>
      </c>
      <c r="N513" s="213"/>
      <c r="O513" s="213"/>
      <c r="P513" s="213"/>
      <c r="Q513" s="213"/>
      <c r="R513" s="213"/>
      <c r="S513" s="213"/>
    </row>
    <row r="514" spans="2:19" s="214" customFormat="1" ht="46.8" hidden="1">
      <c r="B514" s="176" t="s">
        <v>228</v>
      </c>
      <c r="C514" s="232" t="s">
        <v>130</v>
      </c>
      <c r="D514" s="232" t="s">
        <v>78</v>
      </c>
      <c r="E514" s="232" t="s">
        <v>86</v>
      </c>
      <c r="F514" s="199" t="s">
        <v>225</v>
      </c>
      <c r="G514" s="199" t="s">
        <v>158</v>
      </c>
      <c r="H514" s="199" t="s">
        <v>86</v>
      </c>
      <c r="I514" s="164" t="s">
        <v>229</v>
      </c>
      <c r="J514" s="232"/>
      <c r="K514" s="233">
        <f>K515</f>
        <v>0</v>
      </c>
      <c r="L514" s="233">
        <f t="shared" ref="L514:M515" si="203">L515</f>
        <v>0</v>
      </c>
      <c r="M514" s="233">
        <f t="shared" si="203"/>
        <v>0</v>
      </c>
      <c r="N514" s="213"/>
      <c r="O514" s="213"/>
      <c r="P514" s="213"/>
      <c r="Q514" s="213"/>
      <c r="R514" s="213"/>
      <c r="S514" s="213"/>
    </row>
    <row r="515" spans="2:19" s="214" customFormat="1" ht="46.8" hidden="1">
      <c r="B515" s="162" t="s">
        <v>83</v>
      </c>
      <c r="C515" s="232" t="s">
        <v>130</v>
      </c>
      <c r="D515" s="232" t="s">
        <v>78</v>
      </c>
      <c r="E515" s="232" t="s">
        <v>86</v>
      </c>
      <c r="F515" s="199" t="s">
        <v>225</v>
      </c>
      <c r="G515" s="199" t="s">
        <v>158</v>
      </c>
      <c r="H515" s="199" t="s">
        <v>86</v>
      </c>
      <c r="I515" s="164" t="s">
        <v>229</v>
      </c>
      <c r="J515" s="232" t="s">
        <v>84</v>
      </c>
      <c r="K515" s="233">
        <f>K516</f>
        <v>0</v>
      </c>
      <c r="L515" s="233">
        <f t="shared" si="203"/>
        <v>0</v>
      </c>
      <c r="M515" s="233">
        <f t="shared" si="203"/>
        <v>0</v>
      </c>
      <c r="N515" s="213"/>
      <c r="O515" s="213"/>
      <c r="P515" s="213"/>
      <c r="Q515" s="213"/>
      <c r="R515" s="213"/>
      <c r="S515" s="213"/>
    </row>
    <row r="516" spans="2:19" s="214" customFormat="1" ht="15.6" hidden="1">
      <c r="B516" s="162" t="s">
        <v>131</v>
      </c>
      <c r="C516" s="232" t="s">
        <v>130</v>
      </c>
      <c r="D516" s="232" t="s">
        <v>78</v>
      </c>
      <c r="E516" s="232" t="s">
        <v>86</v>
      </c>
      <c r="F516" s="199" t="s">
        <v>225</v>
      </c>
      <c r="G516" s="199" t="s">
        <v>158</v>
      </c>
      <c r="H516" s="199" t="s">
        <v>86</v>
      </c>
      <c r="I516" s="164" t="s">
        <v>229</v>
      </c>
      <c r="J516" s="232" t="s">
        <v>132</v>
      </c>
      <c r="K516" s="233">
        <f>0</f>
        <v>0</v>
      </c>
      <c r="L516" s="233">
        <f>0</f>
        <v>0</v>
      </c>
      <c r="M516" s="233">
        <f>0</f>
        <v>0</v>
      </c>
      <c r="N516" s="213"/>
      <c r="O516" s="213"/>
      <c r="P516" s="213"/>
      <c r="Q516" s="213"/>
      <c r="R516" s="213"/>
      <c r="S516" s="213"/>
    </row>
    <row r="517" spans="2:19" s="214" customFormat="1" ht="46.8" hidden="1">
      <c r="B517" s="198" t="s">
        <v>232</v>
      </c>
      <c r="C517" s="232" t="s">
        <v>130</v>
      </c>
      <c r="D517" s="232" t="s">
        <v>78</v>
      </c>
      <c r="E517" s="232" t="s">
        <v>86</v>
      </c>
      <c r="F517" s="199" t="s">
        <v>225</v>
      </c>
      <c r="G517" s="199" t="s">
        <v>158</v>
      </c>
      <c r="H517" s="199" t="s">
        <v>64</v>
      </c>
      <c r="I517" s="199" t="s">
        <v>145</v>
      </c>
      <c r="J517" s="232"/>
      <c r="K517" s="233">
        <f>K518+K521</f>
        <v>0</v>
      </c>
      <c r="L517" s="233">
        <f t="shared" ref="L517:M517" si="204">L518+L521</f>
        <v>0</v>
      </c>
      <c r="M517" s="233">
        <f t="shared" si="204"/>
        <v>0</v>
      </c>
      <c r="N517" s="213"/>
      <c r="O517" s="213"/>
      <c r="P517" s="213"/>
      <c r="Q517" s="213"/>
      <c r="R517" s="213"/>
      <c r="S517" s="213"/>
    </row>
    <row r="518" spans="2:19" s="214" customFormat="1" ht="62.4" hidden="1">
      <c r="B518" s="176" t="s">
        <v>187</v>
      </c>
      <c r="C518" s="232" t="s">
        <v>130</v>
      </c>
      <c r="D518" s="232" t="s">
        <v>78</v>
      </c>
      <c r="E518" s="232" t="s">
        <v>86</v>
      </c>
      <c r="F518" s="199" t="s">
        <v>225</v>
      </c>
      <c r="G518" s="199" t="s">
        <v>158</v>
      </c>
      <c r="H518" s="199" t="s">
        <v>64</v>
      </c>
      <c r="I518" s="164" t="s">
        <v>188</v>
      </c>
      <c r="J518" s="232"/>
      <c r="K518" s="233">
        <f>K519</f>
        <v>0</v>
      </c>
      <c r="L518" s="233">
        <f t="shared" ref="L518:M519" si="205">L519</f>
        <v>0</v>
      </c>
      <c r="M518" s="233">
        <f t="shared" si="205"/>
        <v>0</v>
      </c>
      <c r="N518" s="213"/>
      <c r="O518" s="213"/>
      <c r="P518" s="213"/>
      <c r="Q518" s="213"/>
      <c r="R518" s="213"/>
      <c r="S518" s="213"/>
    </row>
    <row r="519" spans="2:19" s="214" customFormat="1" ht="46.8" hidden="1">
      <c r="B519" s="162" t="s">
        <v>83</v>
      </c>
      <c r="C519" s="232" t="s">
        <v>130</v>
      </c>
      <c r="D519" s="232" t="s">
        <v>78</v>
      </c>
      <c r="E519" s="232" t="s">
        <v>86</v>
      </c>
      <c r="F519" s="199" t="s">
        <v>225</v>
      </c>
      <c r="G519" s="199" t="s">
        <v>158</v>
      </c>
      <c r="H519" s="199" t="s">
        <v>64</v>
      </c>
      <c r="I519" s="164" t="s">
        <v>188</v>
      </c>
      <c r="J519" s="232" t="s">
        <v>84</v>
      </c>
      <c r="K519" s="233">
        <f>K520</f>
        <v>0</v>
      </c>
      <c r="L519" s="233">
        <f t="shared" si="205"/>
        <v>0</v>
      </c>
      <c r="M519" s="233">
        <f t="shared" si="205"/>
        <v>0</v>
      </c>
      <c r="N519" s="213"/>
      <c r="O519" s="213"/>
      <c r="P519" s="213"/>
      <c r="Q519" s="213"/>
      <c r="R519" s="213"/>
      <c r="S519" s="213"/>
    </row>
    <row r="520" spans="2:19" s="214" customFormat="1" ht="15.6" hidden="1">
      <c r="B520" s="162" t="s">
        <v>131</v>
      </c>
      <c r="C520" s="232" t="s">
        <v>130</v>
      </c>
      <c r="D520" s="232" t="s">
        <v>78</v>
      </c>
      <c r="E520" s="232" t="s">
        <v>86</v>
      </c>
      <c r="F520" s="199" t="s">
        <v>225</v>
      </c>
      <c r="G520" s="199" t="s">
        <v>158</v>
      </c>
      <c r="H520" s="199" t="s">
        <v>64</v>
      </c>
      <c r="I520" s="164" t="s">
        <v>188</v>
      </c>
      <c r="J520" s="232" t="s">
        <v>132</v>
      </c>
      <c r="K520" s="233">
        <f>0</f>
        <v>0</v>
      </c>
      <c r="L520" s="233">
        <f>0</f>
        <v>0</v>
      </c>
      <c r="M520" s="233">
        <f>0</f>
        <v>0</v>
      </c>
      <c r="N520" s="213"/>
      <c r="O520" s="213"/>
      <c r="P520" s="213"/>
      <c r="Q520" s="213"/>
      <c r="R520" s="213"/>
      <c r="S520" s="213"/>
    </row>
    <row r="521" spans="2:19" s="214" customFormat="1" ht="46.8" hidden="1">
      <c r="B521" s="176" t="s">
        <v>228</v>
      </c>
      <c r="C521" s="232" t="s">
        <v>130</v>
      </c>
      <c r="D521" s="232" t="s">
        <v>78</v>
      </c>
      <c r="E521" s="232" t="s">
        <v>86</v>
      </c>
      <c r="F521" s="199" t="s">
        <v>225</v>
      </c>
      <c r="G521" s="199" t="s">
        <v>158</v>
      </c>
      <c r="H521" s="199" t="s">
        <v>64</v>
      </c>
      <c r="I521" s="164" t="s">
        <v>229</v>
      </c>
      <c r="J521" s="232"/>
      <c r="K521" s="233">
        <f>K522</f>
        <v>0</v>
      </c>
      <c r="L521" s="233">
        <f t="shared" ref="L521:M522" si="206">L522</f>
        <v>0</v>
      </c>
      <c r="M521" s="233">
        <f t="shared" si="206"/>
        <v>0</v>
      </c>
      <c r="N521" s="213"/>
      <c r="O521" s="213"/>
      <c r="P521" s="213"/>
      <c r="Q521" s="213"/>
      <c r="R521" s="213"/>
      <c r="S521" s="213"/>
    </row>
    <row r="522" spans="2:19" s="214" customFormat="1" ht="46.8" hidden="1">
      <c r="B522" s="162" t="s">
        <v>83</v>
      </c>
      <c r="C522" s="232" t="s">
        <v>130</v>
      </c>
      <c r="D522" s="232" t="s">
        <v>78</v>
      </c>
      <c r="E522" s="232" t="s">
        <v>86</v>
      </c>
      <c r="F522" s="199" t="s">
        <v>225</v>
      </c>
      <c r="G522" s="199" t="s">
        <v>158</v>
      </c>
      <c r="H522" s="199" t="s">
        <v>64</v>
      </c>
      <c r="I522" s="164" t="s">
        <v>229</v>
      </c>
      <c r="J522" s="232" t="s">
        <v>84</v>
      </c>
      <c r="K522" s="233">
        <f>K523</f>
        <v>0</v>
      </c>
      <c r="L522" s="233">
        <f t="shared" si="206"/>
        <v>0</v>
      </c>
      <c r="M522" s="233">
        <f t="shared" si="206"/>
        <v>0</v>
      </c>
      <c r="N522" s="213"/>
      <c r="O522" s="213"/>
      <c r="P522" s="213"/>
      <c r="Q522" s="213"/>
      <c r="R522" s="213"/>
      <c r="S522" s="213"/>
    </row>
    <row r="523" spans="2:19" s="214" customFormat="1" ht="15.6" hidden="1">
      <c r="B523" s="162" t="s">
        <v>131</v>
      </c>
      <c r="C523" s="232" t="s">
        <v>130</v>
      </c>
      <c r="D523" s="232" t="s">
        <v>78</v>
      </c>
      <c r="E523" s="232" t="s">
        <v>86</v>
      </c>
      <c r="F523" s="199" t="s">
        <v>225</v>
      </c>
      <c r="G523" s="199" t="s">
        <v>158</v>
      </c>
      <c r="H523" s="199" t="s">
        <v>64</v>
      </c>
      <c r="I523" s="164" t="s">
        <v>229</v>
      </c>
      <c r="J523" s="232" t="s">
        <v>132</v>
      </c>
      <c r="K523" s="233">
        <f>0</f>
        <v>0</v>
      </c>
      <c r="L523" s="233">
        <f>0</f>
        <v>0</v>
      </c>
      <c r="M523" s="233">
        <f>0</f>
        <v>0</v>
      </c>
      <c r="N523" s="213"/>
      <c r="O523" s="213"/>
      <c r="P523" s="213"/>
      <c r="Q523" s="213"/>
      <c r="R523" s="213"/>
      <c r="S523" s="213"/>
    </row>
    <row r="524" spans="2:19" s="214" customFormat="1" ht="46.8" hidden="1">
      <c r="B524" s="198" t="s">
        <v>233</v>
      </c>
      <c r="C524" s="232" t="s">
        <v>130</v>
      </c>
      <c r="D524" s="232" t="s">
        <v>78</v>
      </c>
      <c r="E524" s="232" t="s">
        <v>86</v>
      </c>
      <c r="F524" s="199" t="s">
        <v>225</v>
      </c>
      <c r="G524" s="199" t="s">
        <v>58</v>
      </c>
      <c r="H524" s="199" t="s">
        <v>144</v>
      </c>
      <c r="I524" s="199" t="s">
        <v>145</v>
      </c>
      <c r="J524" s="232"/>
      <c r="K524" s="233">
        <f>K525</f>
        <v>0</v>
      </c>
      <c r="L524" s="233">
        <f t="shared" ref="L524:M524" si="207">L525</f>
        <v>0</v>
      </c>
      <c r="M524" s="233">
        <f t="shared" si="207"/>
        <v>0</v>
      </c>
      <c r="N524" s="213"/>
      <c r="O524" s="213"/>
      <c r="P524" s="213"/>
      <c r="Q524" s="213"/>
      <c r="R524" s="213"/>
      <c r="S524" s="213"/>
    </row>
    <row r="525" spans="2:19" s="214" customFormat="1" ht="46.8" hidden="1">
      <c r="B525" s="198" t="s">
        <v>234</v>
      </c>
      <c r="C525" s="232" t="s">
        <v>130</v>
      </c>
      <c r="D525" s="232" t="s">
        <v>78</v>
      </c>
      <c r="E525" s="232" t="s">
        <v>86</v>
      </c>
      <c r="F525" s="199" t="s">
        <v>225</v>
      </c>
      <c r="G525" s="199" t="s">
        <v>58</v>
      </c>
      <c r="H525" s="199" t="s">
        <v>86</v>
      </c>
      <c r="I525" s="199" t="s">
        <v>145</v>
      </c>
      <c r="J525" s="232"/>
      <c r="K525" s="233">
        <f>K526+K529</f>
        <v>0</v>
      </c>
      <c r="L525" s="233">
        <f t="shared" ref="L525:M525" si="208">L526+L529</f>
        <v>0</v>
      </c>
      <c r="M525" s="233">
        <f t="shared" si="208"/>
        <v>0</v>
      </c>
      <c r="N525" s="213"/>
      <c r="O525" s="213"/>
      <c r="P525" s="213"/>
      <c r="Q525" s="213"/>
      <c r="R525" s="213"/>
      <c r="S525" s="213"/>
    </row>
    <row r="526" spans="2:19" s="214" customFormat="1" ht="62.4" hidden="1">
      <c r="B526" s="176" t="s">
        <v>187</v>
      </c>
      <c r="C526" s="232" t="s">
        <v>130</v>
      </c>
      <c r="D526" s="232" t="s">
        <v>78</v>
      </c>
      <c r="E526" s="232" t="s">
        <v>86</v>
      </c>
      <c r="F526" s="199" t="s">
        <v>225</v>
      </c>
      <c r="G526" s="199" t="s">
        <v>58</v>
      </c>
      <c r="H526" s="199" t="s">
        <v>86</v>
      </c>
      <c r="I526" s="164" t="s">
        <v>188</v>
      </c>
      <c r="J526" s="232"/>
      <c r="K526" s="233">
        <f>K527</f>
        <v>0</v>
      </c>
      <c r="L526" s="233">
        <f t="shared" ref="L526:M527" si="209">L527</f>
        <v>0</v>
      </c>
      <c r="M526" s="233">
        <f t="shared" si="209"/>
        <v>0</v>
      </c>
      <c r="N526" s="213"/>
      <c r="O526" s="213"/>
      <c r="P526" s="213"/>
      <c r="Q526" s="213"/>
      <c r="R526" s="213"/>
      <c r="S526" s="213"/>
    </row>
    <row r="527" spans="2:19" s="214" customFormat="1" ht="46.8" hidden="1">
      <c r="B527" s="162" t="s">
        <v>83</v>
      </c>
      <c r="C527" s="232" t="s">
        <v>130</v>
      </c>
      <c r="D527" s="232" t="s">
        <v>78</v>
      </c>
      <c r="E527" s="232" t="s">
        <v>86</v>
      </c>
      <c r="F527" s="199" t="s">
        <v>225</v>
      </c>
      <c r="G527" s="199" t="s">
        <v>58</v>
      </c>
      <c r="H527" s="199" t="s">
        <v>86</v>
      </c>
      <c r="I527" s="164" t="s">
        <v>188</v>
      </c>
      <c r="J527" s="232" t="s">
        <v>84</v>
      </c>
      <c r="K527" s="233">
        <f>K528</f>
        <v>0</v>
      </c>
      <c r="L527" s="233">
        <f t="shared" si="209"/>
        <v>0</v>
      </c>
      <c r="M527" s="233">
        <f t="shared" si="209"/>
        <v>0</v>
      </c>
      <c r="N527" s="213"/>
      <c r="O527" s="213"/>
      <c r="P527" s="213"/>
      <c r="Q527" s="213"/>
      <c r="R527" s="213"/>
      <c r="S527" s="213"/>
    </row>
    <row r="528" spans="2:19" s="214" customFormat="1" ht="15.6" hidden="1">
      <c r="B528" s="162" t="s">
        <v>131</v>
      </c>
      <c r="C528" s="232" t="s">
        <v>130</v>
      </c>
      <c r="D528" s="232" t="s">
        <v>78</v>
      </c>
      <c r="E528" s="232" t="s">
        <v>86</v>
      </c>
      <c r="F528" s="199" t="s">
        <v>225</v>
      </c>
      <c r="G528" s="199" t="s">
        <v>58</v>
      </c>
      <c r="H528" s="199" t="s">
        <v>86</v>
      </c>
      <c r="I528" s="164" t="s">
        <v>188</v>
      </c>
      <c r="J528" s="232" t="s">
        <v>132</v>
      </c>
      <c r="K528" s="233">
        <f>0</f>
        <v>0</v>
      </c>
      <c r="L528" s="233">
        <f>0</f>
        <v>0</v>
      </c>
      <c r="M528" s="233">
        <f>0</f>
        <v>0</v>
      </c>
      <c r="N528" s="213"/>
      <c r="O528" s="213"/>
      <c r="P528" s="213"/>
      <c r="Q528" s="213"/>
      <c r="R528" s="213"/>
      <c r="S528" s="213"/>
    </row>
    <row r="529" spans="2:19" s="214" customFormat="1" ht="46.8" hidden="1">
      <c r="B529" s="176" t="s">
        <v>228</v>
      </c>
      <c r="C529" s="232" t="s">
        <v>130</v>
      </c>
      <c r="D529" s="232" t="s">
        <v>78</v>
      </c>
      <c r="E529" s="232" t="s">
        <v>86</v>
      </c>
      <c r="F529" s="199" t="s">
        <v>225</v>
      </c>
      <c r="G529" s="199" t="s">
        <v>58</v>
      </c>
      <c r="H529" s="199" t="s">
        <v>86</v>
      </c>
      <c r="I529" s="164" t="s">
        <v>229</v>
      </c>
      <c r="J529" s="232"/>
      <c r="K529" s="233">
        <f>K530</f>
        <v>0</v>
      </c>
      <c r="L529" s="233">
        <f t="shared" ref="L529:M530" si="210">L530</f>
        <v>0</v>
      </c>
      <c r="M529" s="233">
        <f t="shared" si="210"/>
        <v>0</v>
      </c>
      <c r="N529" s="213"/>
      <c r="O529" s="213"/>
      <c r="P529" s="213"/>
      <c r="Q529" s="213"/>
      <c r="R529" s="213"/>
      <c r="S529" s="213"/>
    </row>
    <row r="530" spans="2:19" s="214" customFormat="1" ht="46.8" hidden="1">
      <c r="B530" s="162" t="s">
        <v>83</v>
      </c>
      <c r="C530" s="232" t="s">
        <v>130</v>
      </c>
      <c r="D530" s="232" t="s">
        <v>78</v>
      </c>
      <c r="E530" s="232" t="s">
        <v>86</v>
      </c>
      <c r="F530" s="199" t="s">
        <v>225</v>
      </c>
      <c r="G530" s="199" t="s">
        <v>58</v>
      </c>
      <c r="H530" s="199" t="s">
        <v>86</v>
      </c>
      <c r="I530" s="164" t="s">
        <v>229</v>
      </c>
      <c r="J530" s="232" t="s">
        <v>84</v>
      </c>
      <c r="K530" s="233">
        <f>K531</f>
        <v>0</v>
      </c>
      <c r="L530" s="233">
        <f t="shared" si="210"/>
        <v>0</v>
      </c>
      <c r="M530" s="233">
        <f t="shared" si="210"/>
        <v>0</v>
      </c>
      <c r="N530" s="213"/>
      <c r="O530" s="213"/>
      <c r="P530" s="213"/>
      <c r="Q530" s="213"/>
      <c r="R530" s="213"/>
      <c r="S530" s="213"/>
    </row>
    <row r="531" spans="2:19" s="214" customFormat="1" ht="15.6" hidden="1">
      <c r="B531" s="162" t="s">
        <v>131</v>
      </c>
      <c r="C531" s="232" t="s">
        <v>130</v>
      </c>
      <c r="D531" s="232" t="s">
        <v>78</v>
      </c>
      <c r="E531" s="232" t="s">
        <v>86</v>
      </c>
      <c r="F531" s="199" t="s">
        <v>225</v>
      </c>
      <c r="G531" s="199" t="s">
        <v>58</v>
      </c>
      <c r="H531" s="199" t="s">
        <v>86</v>
      </c>
      <c r="I531" s="164" t="s">
        <v>229</v>
      </c>
      <c r="J531" s="232" t="s">
        <v>132</v>
      </c>
      <c r="K531" s="233">
        <f>0</f>
        <v>0</v>
      </c>
      <c r="L531" s="233">
        <f>0</f>
        <v>0</v>
      </c>
      <c r="M531" s="233">
        <f>0</f>
        <v>0</v>
      </c>
      <c r="N531" s="213"/>
      <c r="O531" s="213"/>
      <c r="P531" s="213"/>
      <c r="Q531" s="213"/>
      <c r="R531" s="213"/>
      <c r="S531" s="213"/>
    </row>
    <row r="532" spans="2:19" s="214" customFormat="1" ht="15.6">
      <c r="B532" s="234" t="s">
        <v>133</v>
      </c>
      <c r="C532" s="227" t="s">
        <v>130</v>
      </c>
      <c r="D532" s="235" t="s">
        <v>79</v>
      </c>
      <c r="E532" s="227"/>
      <c r="F532" s="227"/>
      <c r="G532" s="227"/>
      <c r="H532" s="227"/>
      <c r="I532" s="227"/>
      <c r="J532" s="227"/>
      <c r="K532" s="229">
        <f>K533</f>
        <v>33349.899999999994</v>
      </c>
      <c r="L532" s="229">
        <f t="shared" ref="L532:M533" si="211">L533</f>
        <v>34644.013200000001</v>
      </c>
      <c r="M532" s="229">
        <f t="shared" si="211"/>
        <v>36285.228000000003</v>
      </c>
      <c r="N532" s="213"/>
      <c r="O532" s="213"/>
      <c r="P532" s="213"/>
      <c r="Q532" s="213"/>
      <c r="R532" s="213"/>
      <c r="S532" s="213"/>
    </row>
    <row r="533" spans="2:19" s="214" customFormat="1" ht="15.6">
      <c r="B533" s="236" t="s">
        <v>134</v>
      </c>
      <c r="C533" s="227" t="s">
        <v>130</v>
      </c>
      <c r="D533" s="235" t="s">
        <v>79</v>
      </c>
      <c r="E533" s="227" t="s">
        <v>63</v>
      </c>
      <c r="F533" s="227"/>
      <c r="G533" s="227"/>
      <c r="H533" s="227"/>
      <c r="I533" s="227"/>
      <c r="J533" s="227"/>
      <c r="K533" s="229">
        <f>K534</f>
        <v>33349.899999999994</v>
      </c>
      <c r="L533" s="229">
        <f t="shared" si="211"/>
        <v>34644.013200000001</v>
      </c>
      <c r="M533" s="229">
        <f t="shared" si="211"/>
        <v>36285.228000000003</v>
      </c>
      <c r="N533" s="213"/>
      <c r="O533" s="213"/>
      <c r="P533" s="213"/>
      <c r="Q533" s="213"/>
      <c r="R533" s="213"/>
      <c r="S533" s="213"/>
    </row>
    <row r="534" spans="2:19" s="214" customFormat="1" ht="78">
      <c r="B534" s="201" t="s">
        <v>224</v>
      </c>
      <c r="C534" s="227" t="s">
        <v>130</v>
      </c>
      <c r="D534" s="235" t="s">
        <v>79</v>
      </c>
      <c r="E534" s="227" t="s">
        <v>63</v>
      </c>
      <c r="F534" s="202" t="s">
        <v>225</v>
      </c>
      <c r="G534" s="202" t="s">
        <v>143</v>
      </c>
      <c r="H534" s="202" t="s">
        <v>144</v>
      </c>
      <c r="I534" s="202" t="s">
        <v>145</v>
      </c>
      <c r="J534" s="227"/>
      <c r="K534" s="229">
        <f>K535+K566</f>
        <v>33349.899999999994</v>
      </c>
      <c r="L534" s="229">
        <f t="shared" ref="L534:M534" si="212">L535+L566</f>
        <v>34644.013200000001</v>
      </c>
      <c r="M534" s="229">
        <f t="shared" si="212"/>
        <v>36285.228000000003</v>
      </c>
      <c r="N534" s="213"/>
      <c r="O534" s="213"/>
      <c r="P534" s="213"/>
      <c r="Q534" s="213"/>
      <c r="R534" s="213"/>
      <c r="S534" s="213"/>
    </row>
    <row r="535" spans="2:19" s="214" customFormat="1" ht="78">
      <c r="B535" s="198" t="s">
        <v>235</v>
      </c>
      <c r="C535" s="232" t="s">
        <v>130</v>
      </c>
      <c r="D535" s="237" t="s">
        <v>79</v>
      </c>
      <c r="E535" s="232" t="s">
        <v>63</v>
      </c>
      <c r="F535" s="199" t="s">
        <v>225</v>
      </c>
      <c r="G535" s="199" t="s">
        <v>152</v>
      </c>
      <c r="H535" s="199" t="s">
        <v>144</v>
      </c>
      <c r="I535" s="199" t="s">
        <v>145</v>
      </c>
      <c r="J535" s="232"/>
      <c r="K535" s="233">
        <f>K536+K552+K559</f>
        <v>32099.899999999998</v>
      </c>
      <c r="L535" s="233">
        <f t="shared" ref="L535:M535" si="213">L536+L552+L559</f>
        <v>33394.013200000001</v>
      </c>
      <c r="M535" s="233">
        <f t="shared" si="213"/>
        <v>35035.228000000003</v>
      </c>
      <c r="N535" s="213"/>
      <c r="O535" s="213"/>
      <c r="P535" s="213"/>
      <c r="Q535" s="213"/>
      <c r="R535" s="213"/>
      <c r="S535" s="213"/>
    </row>
    <row r="536" spans="2:19" s="214" customFormat="1" ht="46.8">
      <c r="B536" s="198" t="s">
        <v>236</v>
      </c>
      <c r="C536" s="232" t="s">
        <v>130</v>
      </c>
      <c r="D536" s="237" t="s">
        <v>79</v>
      </c>
      <c r="E536" s="232" t="s">
        <v>63</v>
      </c>
      <c r="F536" s="199" t="s">
        <v>225</v>
      </c>
      <c r="G536" s="199" t="s">
        <v>152</v>
      </c>
      <c r="H536" s="199" t="s">
        <v>63</v>
      </c>
      <c r="I536" s="199" t="s">
        <v>145</v>
      </c>
      <c r="J536" s="232"/>
      <c r="K536" s="233">
        <f>K537+K540+K543+K546+K549</f>
        <v>31899.899999999998</v>
      </c>
      <c r="L536" s="233">
        <f t="shared" ref="L536:M536" si="214">L537+L540+L543+L546+L549</f>
        <v>32894.013200000001</v>
      </c>
      <c r="M536" s="233">
        <f t="shared" si="214"/>
        <v>34535.228000000003</v>
      </c>
      <c r="N536" s="213"/>
      <c r="O536" s="213"/>
      <c r="P536" s="213"/>
      <c r="Q536" s="213"/>
      <c r="R536" s="213"/>
      <c r="S536" s="213"/>
    </row>
    <row r="537" spans="2:19" s="214" customFormat="1" ht="62.4">
      <c r="B537" s="176" t="s">
        <v>187</v>
      </c>
      <c r="C537" s="232" t="s">
        <v>130</v>
      </c>
      <c r="D537" s="237" t="s">
        <v>79</v>
      </c>
      <c r="E537" s="232" t="s">
        <v>63</v>
      </c>
      <c r="F537" s="199" t="s">
        <v>225</v>
      </c>
      <c r="G537" s="199" t="s">
        <v>152</v>
      </c>
      <c r="H537" s="199" t="s">
        <v>63</v>
      </c>
      <c r="I537" s="164" t="s">
        <v>188</v>
      </c>
      <c r="J537" s="232"/>
      <c r="K537" s="233">
        <f>K538</f>
        <v>29829.8</v>
      </c>
      <c r="L537" s="233">
        <f t="shared" ref="L537:M538" si="215">L538</f>
        <v>32844.013200000001</v>
      </c>
      <c r="M537" s="233">
        <f t="shared" si="215"/>
        <v>34485.228000000003</v>
      </c>
      <c r="N537" s="213"/>
      <c r="O537" s="213"/>
      <c r="P537" s="213"/>
      <c r="Q537" s="213"/>
      <c r="R537" s="213"/>
      <c r="S537" s="213"/>
    </row>
    <row r="538" spans="2:19" s="214" customFormat="1" ht="46.8">
      <c r="B538" s="162" t="s">
        <v>83</v>
      </c>
      <c r="C538" s="232" t="s">
        <v>130</v>
      </c>
      <c r="D538" s="237" t="s">
        <v>79</v>
      </c>
      <c r="E538" s="232" t="s">
        <v>63</v>
      </c>
      <c r="F538" s="199" t="s">
        <v>225</v>
      </c>
      <c r="G538" s="199" t="s">
        <v>152</v>
      </c>
      <c r="H538" s="199" t="s">
        <v>63</v>
      </c>
      <c r="I538" s="164" t="s">
        <v>188</v>
      </c>
      <c r="J538" s="232" t="s">
        <v>84</v>
      </c>
      <c r="K538" s="233">
        <f>K539</f>
        <v>29829.8</v>
      </c>
      <c r="L538" s="233">
        <f t="shared" si="215"/>
        <v>32844.013200000001</v>
      </c>
      <c r="M538" s="233">
        <f t="shared" si="215"/>
        <v>34485.228000000003</v>
      </c>
      <c r="N538" s="213"/>
      <c r="O538" s="213"/>
      <c r="P538" s="213"/>
      <c r="Q538" s="213"/>
      <c r="R538" s="213"/>
      <c r="S538" s="213"/>
    </row>
    <row r="539" spans="2:19" s="214" customFormat="1" ht="15.6">
      <c r="B539" s="162" t="s">
        <v>448</v>
      </c>
      <c r="C539" s="232" t="s">
        <v>130</v>
      </c>
      <c r="D539" s="237" t="s">
        <v>79</v>
      </c>
      <c r="E539" s="232" t="s">
        <v>63</v>
      </c>
      <c r="F539" s="199" t="s">
        <v>225</v>
      </c>
      <c r="G539" s="199" t="s">
        <v>152</v>
      </c>
      <c r="H539" s="199" t="s">
        <v>63</v>
      </c>
      <c r="I539" s="164" t="s">
        <v>188</v>
      </c>
      <c r="J539" s="232" t="s">
        <v>449</v>
      </c>
      <c r="K539" s="233">
        <f>(15056+52+14296.8+50+25)+350</f>
        <v>29829.8</v>
      </c>
      <c r="L539" s="233">
        <f>(((15056+52+14296.8+50+25)+350)*103.4%)+2000</f>
        <v>32844.013200000001</v>
      </c>
      <c r="M539" s="233">
        <f>(((15056+52+14296.8+50+25)+350+1014.2)*103.7%)+2500</f>
        <v>34485.228000000003</v>
      </c>
      <c r="N539" s="213"/>
      <c r="O539" s="213"/>
      <c r="P539" s="213"/>
      <c r="Q539" s="213"/>
      <c r="R539" s="213"/>
      <c r="S539" s="213"/>
    </row>
    <row r="540" spans="2:19" s="214" customFormat="1" ht="62.4">
      <c r="B540" s="176" t="s">
        <v>189</v>
      </c>
      <c r="C540" s="232" t="s">
        <v>130</v>
      </c>
      <c r="D540" s="237" t="s">
        <v>79</v>
      </c>
      <c r="E540" s="232" t="s">
        <v>63</v>
      </c>
      <c r="F540" s="199" t="s">
        <v>225</v>
      </c>
      <c r="G540" s="199" t="s">
        <v>152</v>
      </c>
      <c r="H540" s="199" t="s">
        <v>63</v>
      </c>
      <c r="I540" s="164" t="s">
        <v>190</v>
      </c>
      <c r="J540" s="232"/>
      <c r="K540" s="233">
        <f>K541</f>
        <v>50</v>
      </c>
      <c r="L540" s="233">
        <f t="shared" ref="L540:M541" si="216">L541</f>
        <v>50</v>
      </c>
      <c r="M540" s="233">
        <f t="shared" si="216"/>
        <v>50</v>
      </c>
      <c r="N540" s="213"/>
      <c r="O540" s="213"/>
      <c r="P540" s="213"/>
      <c r="Q540" s="213"/>
      <c r="R540" s="213"/>
      <c r="S540" s="213"/>
    </row>
    <row r="541" spans="2:19" s="214" customFormat="1" ht="46.8">
      <c r="B541" s="162" t="s">
        <v>83</v>
      </c>
      <c r="C541" s="232" t="s">
        <v>130</v>
      </c>
      <c r="D541" s="237" t="s">
        <v>79</v>
      </c>
      <c r="E541" s="232" t="s">
        <v>63</v>
      </c>
      <c r="F541" s="199" t="s">
        <v>225</v>
      </c>
      <c r="G541" s="199" t="s">
        <v>152</v>
      </c>
      <c r="H541" s="199" t="s">
        <v>63</v>
      </c>
      <c r="I541" s="164" t="s">
        <v>190</v>
      </c>
      <c r="J541" s="232" t="s">
        <v>84</v>
      </c>
      <c r="K541" s="233">
        <f>K542</f>
        <v>50</v>
      </c>
      <c r="L541" s="233">
        <f t="shared" si="216"/>
        <v>50</v>
      </c>
      <c r="M541" s="233">
        <f t="shared" si="216"/>
        <v>50</v>
      </c>
      <c r="N541" s="213"/>
      <c r="O541" s="213"/>
      <c r="P541" s="213"/>
      <c r="Q541" s="213"/>
      <c r="R541" s="213"/>
      <c r="S541" s="213"/>
    </row>
    <row r="542" spans="2:19" s="214" customFormat="1" ht="15.6">
      <c r="B542" s="162" t="s">
        <v>448</v>
      </c>
      <c r="C542" s="232" t="s">
        <v>130</v>
      </c>
      <c r="D542" s="237" t="s">
        <v>79</v>
      </c>
      <c r="E542" s="232" t="s">
        <v>63</v>
      </c>
      <c r="F542" s="199" t="s">
        <v>225</v>
      </c>
      <c r="G542" s="199" t="s">
        <v>152</v>
      </c>
      <c r="H542" s="199" t="s">
        <v>63</v>
      </c>
      <c r="I542" s="164" t="s">
        <v>190</v>
      </c>
      <c r="J542" s="232" t="s">
        <v>449</v>
      </c>
      <c r="K542" s="233">
        <v>50</v>
      </c>
      <c r="L542" s="233">
        <v>50</v>
      </c>
      <c r="M542" s="233">
        <v>50</v>
      </c>
      <c r="N542" s="213"/>
      <c r="O542" s="213"/>
      <c r="P542" s="213"/>
      <c r="Q542" s="213"/>
      <c r="R542" s="213"/>
      <c r="S542" s="213"/>
    </row>
    <row r="543" spans="2:19" s="214" customFormat="1" ht="46.8" hidden="1">
      <c r="B543" s="176" t="s">
        <v>228</v>
      </c>
      <c r="C543" s="232" t="s">
        <v>130</v>
      </c>
      <c r="D543" s="237" t="s">
        <v>79</v>
      </c>
      <c r="E543" s="232" t="s">
        <v>63</v>
      </c>
      <c r="F543" s="199" t="s">
        <v>225</v>
      </c>
      <c r="G543" s="199" t="s">
        <v>152</v>
      </c>
      <c r="H543" s="199" t="s">
        <v>63</v>
      </c>
      <c r="I543" s="164" t="s">
        <v>229</v>
      </c>
      <c r="J543" s="232"/>
      <c r="K543" s="233">
        <f>K544</f>
        <v>0</v>
      </c>
      <c r="L543" s="233">
        <f t="shared" ref="L543:M544" si="217">L544</f>
        <v>0</v>
      </c>
      <c r="M543" s="233">
        <f t="shared" si="217"/>
        <v>0</v>
      </c>
      <c r="N543" s="213"/>
      <c r="O543" s="213"/>
      <c r="P543" s="213"/>
      <c r="Q543" s="213"/>
      <c r="R543" s="213"/>
      <c r="S543" s="213"/>
    </row>
    <row r="544" spans="2:19" s="214" customFormat="1" ht="46.8" hidden="1">
      <c r="B544" s="162" t="s">
        <v>83</v>
      </c>
      <c r="C544" s="232" t="s">
        <v>130</v>
      </c>
      <c r="D544" s="237" t="s">
        <v>79</v>
      </c>
      <c r="E544" s="232" t="s">
        <v>63</v>
      </c>
      <c r="F544" s="199" t="s">
        <v>225</v>
      </c>
      <c r="G544" s="199" t="s">
        <v>152</v>
      </c>
      <c r="H544" s="199" t="s">
        <v>63</v>
      </c>
      <c r="I544" s="164" t="s">
        <v>229</v>
      </c>
      <c r="J544" s="232" t="s">
        <v>84</v>
      </c>
      <c r="K544" s="233">
        <f>K545</f>
        <v>0</v>
      </c>
      <c r="L544" s="233">
        <f t="shared" si="217"/>
        <v>0</v>
      </c>
      <c r="M544" s="233">
        <f t="shared" si="217"/>
        <v>0</v>
      </c>
      <c r="N544" s="213"/>
      <c r="O544" s="213"/>
      <c r="P544" s="213"/>
      <c r="Q544" s="213"/>
      <c r="R544" s="213"/>
      <c r="S544" s="213"/>
    </row>
    <row r="545" spans="2:19" s="214" customFormat="1" ht="15.6" hidden="1">
      <c r="B545" s="162" t="s">
        <v>448</v>
      </c>
      <c r="C545" s="232" t="s">
        <v>130</v>
      </c>
      <c r="D545" s="237" t="s">
        <v>79</v>
      </c>
      <c r="E545" s="232" t="s">
        <v>63</v>
      </c>
      <c r="F545" s="199" t="s">
        <v>225</v>
      </c>
      <c r="G545" s="199" t="s">
        <v>152</v>
      </c>
      <c r="H545" s="199" t="s">
        <v>63</v>
      </c>
      <c r="I545" s="164" t="s">
        <v>229</v>
      </c>
      <c r="J545" s="232" t="s">
        <v>449</v>
      </c>
      <c r="K545" s="233"/>
      <c r="L545" s="233"/>
      <c r="M545" s="233"/>
      <c r="N545" s="213"/>
      <c r="O545" s="213"/>
      <c r="P545" s="213"/>
      <c r="Q545" s="213"/>
      <c r="R545" s="213"/>
      <c r="S545" s="213"/>
    </row>
    <row r="546" spans="2:19" s="214" customFormat="1" ht="46.8">
      <c r="B546" s="238" t="s">
        <v>450</v>
      </c>
      <c r="C546" s="232" t="s">
        <v>130</v>
      </c>
      <c r="D546" s="237" t="s">
        <v>79</v>
      </c>
      <c r="E546" s="232" t="s">
        <v>63</v>
      </c>
      <c r="F546" s="199" t="s">
        <v>225</v>
      </c>
      <c r="G546" s="199" t="s">
        <v>152</v>
      </c>
      <c r="H546" s="199" t="s">
        <v>63</v>
      </c>
      <c r="I546" s="157">
        <v>72300</v>
      </c>
      <c r="J546" s="232"/>
      <c r="K546" s="233">
        <f>K547</f>
        <v>1818.1</v>
      </c>
      <c r="L546" s="233">
        <f t="shared" ref="L546:M547" si="218">L547</f>
        <v>0</v>
      </c>
      <c r="M546" s="233">
        <f t="shared" si="218"/>
        <v>0</v>
      </c>
      <c r="N546" s="213"/>
      <c r="O546" s="213"/>
      <c r="P546" s="213"/>
      <c r="Q546" s="213"/>
      <c r="R546" s="213"/>
      <c r="S546" s="213"/>
    </row>
    <row r="547" spans="2:19" s="214" customFormat="1" ht="46.8">
      <c r="B547" s="162" t="s">
        <v>83</v>
      </c>
      <c r="C547" s="232" t="s">
        <v>130</v>
      </c>
      <c r="D547" s="237" t="s">
        <v>79</v>
      </c>
      <c r="E547" s="232" t="s">
        <v>63</v>
      </c>
      <c r="F547" s="199" t="s">
        <v>225</v>
      </c>
      <c r="G547" s="199" t="s">
        <v>152</v>
      </c>
      <c r="H547" s="199" t="s">
        <v>63</v>
      </c>
      <c r="I547" s="157">
        <v>72300</v>
      </c>
      <c r="J547" s="232" t="s">
        <v>84</v>
      </c>
      <c r="K547" s="233">
        <f>K548</f>
        <v>1818.1</v>
      </c>
      <c r="L547" s="233">
        <f t="shared" si="218"/>
        <v>0</v>
      </c>
      <c r="M547" s="233">
        <f t="shared" si="218"/>
        <v>0</v>
      </c>
      <c r="N547" s="213"/>
      <c r="O547" s="213"/>
      <c r="P547" s="213"/>
      <c r="Q547" s="213"/>
      <c r="R547" s="213"/>
      <c r="S547" s="213"/>
    </row>
    <row r="548" spans="2:19" s="214" customFormat="1" ht="15.6">
      <c r="B548" s="162" t="s">
        <v>448</v>
      </c>
      <c r="C548" s="232" t="s">
        <v>130</v>
      </c>
      <c r="D548" s="237" t="s">
        <v>79</v>
      </c>
      <c r="E548" s="232" t="s">
        <v>63</v>
      </c>
      <c r="F548" s="199" t="s">
        <v>225</v>
      </c>
      <c r="G548" s="199" t="s">
        <v>152</v>
      </c>
      <c r="H548" s="199" t="s">
        <v>63</v>
      </c>
      <c r="I548" s="157">
        <v>72300</v>
      </c>
      <c r="J548" s="232" t="s">
        <v>449</v>
      </c>
      <c r="K548" s="233">
        <f>1818.1</f>
        <v>1818.1</v>
      </c>
      <c r="L548" s="233"/>
      <c r="M548" s="233"/>
      <c r="N548" s="213"/>
      <c r="O548" s="213"/>
      <c r="P548" s="213"/>
      <c r="Q548" s="213"/>
      <c r="R548" s="213"/>
      <c r="S548" s="213"/>
    </row>
    <row r="549" spans="2:19" s="214" customFormat="1" ht="62.4">
      <c r="B549" s="238" t="s">
        <v>451</v>
      </c>
      <c r="C549" s="232" t="s">
        <v>130</v>
      </c>
      <c r="D549" s="237" t="s">
        <v>79</v>
      </c>
      <c r="E549" s="232" t="s">
        <v>63</v>
      </c>
      <c r="F549" s="199" t="s">
        <v>225</v>
      </c>
      <c r="G549" s="199" t="s">
        <v>152</v>
      </c>
      <c r="H549" s="199" t="s">
        <v>63</v>
      </c>
      <c r="I549" s="157" t="s">
        <v>452</v>
      </c>
      <c r="J549" s="232"/>
      <c r="K549" s="233">
        <f>K550</f>
        <v>202</v>
      </c>
      <c r="L549" s="233">
        <f t="shared" ref="L549:M550" si="219">L550</f>
        <v>0</v>
      </c>
      <c r="M549" s="233">
        <f t="shared" si="219"/>
        <v>0</v>
      </c>
      <c r="N549" s="213"/>
      <c r="O549" s="213"/>
      <c r="P549" s="213"/>
      <c r="Q549" s="213"/>
      <c r="R549" s="213"/>
      <c r="S549" s="213"/>
    </row>
    <row r="550" spans="2:19" s="214" customFormat="1" ht="46.8">
      <c r="B550" s="162" t="s">
        <v>83</v>
      </c>
      <c r="C550" s="232" t="s">
        <v>130</v>
      </c>
      <c r="D550" s="237" t="s">
        <v>79</v>
      </c>
      <c r="E550" s="232" t="s">
        <v>63</v>
      </c>
      <c r="F550" s="199" t="s">
        <v>225</v>
      </c>
      <c r="G550" s="199" t="s">
        <v>152</v>
      </c>
      <c r="H550" s="199" t="s">
        <v>63</v>
      </c>
      <c r="I550" s="157" t="s">
        <v>452</v>
      </c>
      <c r="J550" s="232" t="s">
        <v>84</v>
      </c>
      <c r="K550" s="233">
        <f>K551</f>
        <v>202</v>
      </c>
      <c r="L550" s="233">
        <f t="shared" si="219"/>
        <v>0</v>
      </c>
      <c r="M550" s="233">
        <f t="shared" si="219"/>
        <v>0</v>
      </c>
      <c r="N550" s="213"/>
      <c r="O550" s="213"/>
      <c r="P550" s="213"/>
      <c r="Q550" s="213"/>
      <c r="R550" s="213"/>
      <c r="S550" s="213"/>
    </row>
    <row r="551" spans="2:19" s="214" customFormat="1" ht="15.6">
      <c r="B551" s="162" t="s">
        <v>448</v>
      </c>
      <c r="C551" s="232" t="s">
        <v>130</v>
      </c>
      <c r="D551" s="237" t="s">
        <v>79</v>
      </c>
      <c r="E551" s="232" t="s">
        <v>63</v>
      </c>
      <c r="F551" s="199" t="s">
        <v>225</v>
      </c>
      <c r="G551" s="199" t="s">
        <v>152</v>
      </c>
      <c r="H551" s="199" t="s">
        <v>63</v>
      </c>
      <c r="I551" s="157" t="s">
        <v>452</v>
      </c>
      <c r="J551" s="232" t="s">
        <v>449</v>
      </c>
      <c r="K551" s="233">
        <f>202</f>
        <v>202</v>
      </c>
      <c r="L551" s="233"/>
      <c r="M551" s="233"/>
      <c r="N551" s="213"/>
      <c r="O551" s="213"/>
      <c r="P551" s="213"/>
      <c r="Q551" s="213"/>
      <c r="R551" s="213"/>
      <c r="S551" s="213"/>
    </row>
    <row r="552" spans="2:19" s="214" customFormat="1" ht="62.4">
      <c r="B552" s="198" t="s">
        <v>237</v>
      </c>
      <c r="C552" s="232" t="s">
        <v>130</v>
      </c>
      <c r="D552" s="237" t="s">
        <v>79</v>
      </c>
      <c r="E552" s="232" t="s">
        <v>63</v>
      </c>
      <c r="F552" s="199" t="s">
        <v>225</v>
      </c>
      <c r="G552" s="199" t="s">
        <v>152</v>
      </c>
      <c r="H552" s="199" t="s">
        <v>85</v>
      </c>
      <c r="I552" s="199" t="s">
        <v>145</v>
      </c>
      <c r="J552" s="232"/>
      <c r="K552" s="233">
        <f>K553+K556</f>
        <v>100</v>
      </c>
      <c r="L552" s="233">
        <f t="shared" ref="L552:M552" si="220">L553+L556</f>
        <v>100</v>
      </c>
      <c r="M552" s="233">
        <f t="shared" si="220"/>
        <v>100</v>
      </c>
      <c r="N552" s="213"/>
      <c r="O552" s="213"/>
      <c r="P552" s="213"/>
      <c r="Q552" s="213"/>
      <c r="R552" s="213"/>
      <c r="S552" s="213"/>
    </row>
    <row r="553" spans="2:19" s="214" customFormat="1" ht="62.4">
      <c r="B553" s="176" t="s">
        <v>187</v>
      </c>
      <c r="C553" s="232" t="s">
        <v>130</v>
      </c>
      <c r="D553" s="237" t="s">
        <v>79</v>
      </c>
      <c r="E553" s="232" t="s">
        <v>63</v>
      </c>
      <c r="F553" s="199" t="s">
        <v>225</v>
      </c>
      <c r="G553" s="199" t="s">
        <v>152</v>
      </c>
      <c r="H553" s="199" t="s">
        <v>85</v>
      </c>
      <c r="I553" s="164" t="s">
        <v>188</v>
      </c>
      <c r="J553" s="232"/>
      <c r="K553" s="233">
        <f>K554</f>
        <v>100</v>
      </c>
      <c r="L553" s="233">
        <f t="shared" ref="L553:M554" si="221">L554</f>
        <v>100</v>
      </c>
      <c r="M553" s="233">
        <f t="shared" si="221"/>
        <v>100</v>
      </c>
      <c r="N553" s="213"/>
      <c r="O553" s="213"/>
      <c r="P553" s="213"/>
      <c r="Q553" s="213"/>
      <c r="R553" s="213"/>
      <c r="S553" s="213"/>
    </row>
    <row r="554" spans="2:19" s="214" customFormat="1" ht="46.8">
      <c r="B554" s="162" t="s">
        <v>83</v>
      </c>
      <c r="C554" s="232" t="s">
        <v>130</v>
      </c>
      <c r="D554" s="237" t="s">
        <v>79</v>
      </c>
      <c r="E554" s="232" t="s">
        <v>63</v>
      </c>
      <c r="F554" s="199" t="s">
        <v>225</v>
      </c>
      <c r="G554" s="199" t="s">
        <v>152</v>
      </c>
      <c r="H554" s="199" t="s">
        <v>85</v>
      </c>
      <c r="I554" s="164" t="s">
        <v>188</v>
      </c>
      <c r="J554" s="232" t="s">
        <v>84</v>
      </c>
      <c r="K554" s="233">
        <f>K555</f>
        <v>100</v>
      </c>
      <c r="L554" s="233">
        <f t="shared" si="221"/>
        <v>100</v>
      </c>
      <c r="M554" s="233">
        <f t="shared" si="221"/>
        <v>100</v>
      </c>
      <c r="N554" s="213"/>
      <c r="O554" s="213"/>
      <c r="P554" s="213"/>
      <c r="Q554" s="213"/>
      <c r="R554" s="213"/>
      <c r="S554" s="213"/>
    </row>
    <row r="555" spans="2:19" s="214" customFormat="1" ht="15.6">
      <c r="B555" s="162" t="s">
        <v>448</v>
      </c>
      <c r="C555" s="232" t="s">
        <v>130</v>
      </c>
      <c r="D555" s="237" t="s">
        <v>79</v>
      </c>
      <c r="E555" s="232" t="s">
        <v>63</v>
      </c>
      <c r="F555" s="199" t="s">
        <v>225</v>
      </c>
      <c r="G555" s="199" t="s">
        <v>152</v>
      </c>
      <c r="H555" s="199" t="s">
        <v>85</v>
      </c>
      <c r="I555" s="164" t="s">
        <v>188</v>
      </c>
      <c r="J555" s="232" t="s">
        <v>449</v>
      </c>
      <c r="K555" s="233">
        <v>100</v>
      </c>
      <c r="L555" s="233">
        <v>100</v>
      </c>
      <c r="M555" s="233">
        <v>100</v>
      </c>
      <c r="N555" s="213"/>
      <c r="O555" s="213"/>
      <c r="P555" s="213"/>
      <c r="Q555" s="213"/>
      <c r="R555" s="213"/>
      <c r="S555" s="213"/>
    </row>
    <row r="556" spans="2:19" s="214" customFormat="1" ht="46.8" hidden="1">
      <c r="B556" s="176" t="s">
        <v>228</v>
      </c>
      <c r="C556" s="232" t="s">
        <v>130</v>
      </c>
      <c r="D556" s="237" t="s">
        <v>79</v>
      </c>
      <c r="E556" s="232" t="s">
        <v>63</v>
      </c>
      <c r="F556" s="199" t="s">
        <v>225</v>
      </c>
      <c r="G556" s="199" t="s">
        <v>152</v>
      </c>
      <c r="H556" s="199" t="s">
        <v>85</v>
      </c>
      <c r="I556" s="164" t="s">
        <v>229</v>
      </c>
      <c r="J556" s="232"/>
      <c r="K556" s="233">
        <f>K557</f>
        <v>0</v>
      </c>
      <c r="L556" s="233">
        <f t="shared" ref="L556:M557" si="222">L557</f>
        <v>0</v>
      </c>
      <c r="M556" s="233">
        <f t="shared" si="222"/>
        <v>0</v>
      </c>
      <c r="N556" s="213"/>
      <c r="O556" s="213"/>
      <c r="P556" s="213"/>
      <c r="Q556" s="213"/>
      <c r="R556" s="213"/>
      <c r="S556" s="213"/>
    </row>
    <row r="557" spans="2:19" s="214" customFormat="1" ht="46.8" hidden="1">
      <c r="B557" s="162" t="s">
        <v>83</v>
      </c>
      <c r="C557" s="232" t="s">
        <v>130</v>
      </c>
      <c r="D557" s="237" t="s">
        <v>79</v>
      </c>
      <c r="E557" s="232" t="s">
        <v>63</v>
      </c>
      <c r="F557" s="199" t="s">
        <v>225</v>
      </c>
      <c r="G557" s="199" t="s">
        <v>152</v>
      </c>
      <c r="H557" s="199" t="s">
        <v>85</v>
      </c>
      <c r="I557" s="164" t="s">
        <v>229</v>
      </c>
      <c r="J557" s="232" t="s">
        <v>84</v>
      </c>
      <c r="K557" s="233">
        <f>K558</f>
        <v>0</v>
      </c>
      <c r="L557" s="233">
        <f t="shared" si="222"/>
        <v>0</v>
      </c>
      <c r="M557" s="233">
        <f t="shared" si="222"/>
        <v>0</v>
      </c>
      <c r="N557" s="213"/>
      <c r="O557" s="213"/>
      <c r="P557" s="213"/>
      <c r="Q557" s="213"/>
      <c r="R557" s="213"/>
      <c r="S557" s="213"/>
    </row>
    <row r="558" spans="2:19" s="214" customFormat="1" ht="15.6" hidden="1">
      <c r="B558" s="162" t="s">
        <v>448</v>
      </c>
      <c r="C558" s="232" t="s">
        <v>130</v>
      </c>
      <c r="D558" s="237" t="s">
        <v>79</v>
      </c>
      <c r="E558" s="232" t="s">
        <v>63</v>
      </c>
      <c r="F558" s="199" t="s">
        <v>225</v>
      </c>
      <c r="G558" s="199" t="s">
        <v>152</v>
      </c>
      <c r="H558" s="199" t="s">
        <v>85</v>
      </c>
      <c r="I558" s="164" t="s">
        <v>229</v>
      </c>
      <c r="J558" s="232" t="s">
        <v>449</v>
      </c>
      <c r="K558" s="233">
        <f>0</f>
        <v>0</v>
      </c>
      <c r="L558" s="233">
        <f>0</f>
        <v>0</v>
      </c>
      <c r="M558" s="233">
        <f>0</f>
        <v>0</v>
      </c>
      <c r="N558" s="213"/>
      <c r="O558" s="213"/>
      <c r="P558" s="213"/>
      <c r="Q558" s="213"/>
      <c r="R558" s="213"/>
      <c r="S558" s="213"/>
    </row>
    <row r="559" spans="2:19" s="214" customFormat="1" ht="78">
      <c r="B559" s="198" t="s">
        <v>238</v>
      </c>
      <c r="C559" s="232" t="s">
        <v>130</v>
      </c>
      <c r="D559" s="237" t="s">
        <v>79</v>
      </c>
      <c r="E559" s="232" t="s">
        <v>63</v>
      </c>
      <c r="F559" s="199" t="s">
        <v>225</v>
      </c>
      <c r="G559" s="199" t="s">
        <v>152</v>
      </c>
      <c r="H559" s="199" t="s">
        <v>86</v>
      </c>
      <c r="I559" s="199" t="s">
        <v>145</v>
      </c>
      <c r="J559" s="232"/>
      <c r="K559" s="233">
        <f>K560+K563</f>
        <v>100</v>
      </c>
      <c r="L559" s="233">
        <f t="shared" ref="L559:M559" si="223">L560+L563</f>
        <v>400</v>
      </c>
      <c r="M559" s="233">
        <f t="shared" si="223"/>
        <v>400</v>
      </c>
      <c r="N559" s="213"/>
      <c r="O559" s="213"/>
      <c r="P559" s="213"/>
      <c r="Q559" s="213"/>
      <c r="R559" s="213"/>
      <c r="S559" s="213"/>
    </row>
    <row r="560" spans="2:19" s="214" customFormat="1" ht="62.4">
      <c r="B560" s="176" t="s">
        <v>187</v>
      </c>
      <c r="C560" s="232" t="s">
        <v>130</v>
      </c>
      <c r="D560" s="237" t="s">
        <v>79</v>
      </c>
      <c r="E560" s="232" t="s">
        <v>63</v>
      </c>
      <c r="F560" s="199" t="s">
        <v>225</v>
      </c>
      <c r="G560" s="199" t="s">
        <v>152</v>
      </c>
      <c r="H560" s="199" t="s">
        <v>86</v>
      </c>
      <c r="I560" s="164" t="s">
        <v>188</v>
      </c>
      <c r="J560" s="232"/>
      <c r="K560" s="233">
        <f>K561</f>
        <v>100</v>
      </c>
      <c r="L560" s="233">
        <f t="shared" ref="L560:M561" si="224">L561</f>
        <v>400</v>
      </c>
      <c r="M560" s="233">
        <f t="shared" si="224"/>
        <v>400</v>
      </c>
      <c r="N560" s="213"/>
      <c r="O560" s="213"/>
      <c r="P560" s="213"/>
      <c r="Q560" s="213"/>
      <c r="R560" s="213"/>
      <c r="S560" s="213"/>
    </row>
    <row r="561" spans="2:19" s="214" customFormat="1" ht="46.8">
      <c r="B561" s="162" t="s">
        <v>83</v>
      </c>
      <c r="C561" s="232" t="s">
        <v>130</v>
      </c>
      <c r="D561" s="237" t="s">
        <v>79</v>
      </c>
      <c r="E561" s="232" t="s">
        <v>63</v>
      </c>
      <c r="F561" s="199" t="s">
        <v>225</v>
      </c>
      <c r="G561" s="199" t="s">
        <v>152</v>
      </c>
      <c r="H561" s="199" t="s">
        <v>86</v>
      </c>
      <c r="I561" s="164" t="s">
        <v>188</v>
      </c>
      <c r="J561" s="232" t="s">
        <v>84</v>
      </c>
      <c r="K561" s="233">
        <f>K562</f>
        <v>100</v>
      </c>
      <c r="L561" s="233">
        <f t="shared" si="224"/>
        <v>400</v>
      </c>
      <c r="M561" s="233">
        <f t="shared" si="224"/>
        <v>400</v>
      </c>
      <c r="N561" s="213"/>
      <c r="O561" s="213"/>
      <c r="P561" s="213"/>
      <c r="Q561" s="213"/>
      <c r="R561" s="213"/>
      <c r="S561" s="213"/>
    </row>
    <row r="562" spans="2:19" s="214" customFormat="1" ht="15.6">
      <c r="B562" s="162" t="s">
        <v>448</v>
      </c>
      <c r="C562" s="232" t="s">
        <v>130</v>
      </c>
      <c r="D562" s="237" t="s">
        <v>79</v>
      </c>
      <c r="E562" s="232" t="s">
        <v>63</v>
      </c>
      <c r="F562" s="199" t="s">
        <v>225</v>
      </c>
      <c r="G562" s="199" t="s">
        <v>152</v>
      </c>
      <c r="H562" s="199" t="s">
        <v>86</v>
      </c>
      <c r="I562" s="164" t="s">
        <v>188</v>
      </c>
      <c r="J562" s="232" t="s">
        <v>449</v>
      </c>
      <c r="K562" s="233">
        <v>100</v>
      </c>
      <c r="L562" s="246">
        <f>100+300</f>
        <v>400</v>
      </c>
      <c r="M562" s="246">
        <f>100+300</f>
        <v>400</v>
      </c>
      <c r="N562" s="213"/>
      <c r="O562" s="213"/>
      <c r="P562" s="213"/>
      <c r="Q562" s="213"/>
      <c r="R562" s="213"/>
      <c r="S562" s="213"/>
    </row>
    <row r="563" spans="2:19" s="214" customFormat="1" ht="46.8" hidden="1">
      <c r="B563" s="176" t="s">
        <v>228</v>
      </c>
      <c r="C563" s="232" t="s">
        <v>130</v>
      </c>
      <c r="D563" s="237" t="s">
        <v>79</v>
      </c>
      <c r="E563" s="232" t="s">
        <v>63</v>
      </c>
      <c r="F563" s="199" t="s">
        <v>225</v>
      </c>
      <c r="G563" s="199" t="s">
        <v>152</v>
      </c>
      <c r="H563" s="199" t="s">
        <v>86</v>
      </c>
      <c r="I563" s="164" t="s">
        <v>229</v>
      </c>
      <c r="J563" s="232"/>
      <c r="K563" s="233">
        <f>K564</f>
        <v>0</v>
      </c>
      <c r="L563" s="233">
        <f t="shared" ref="L563:M564" si="225">L564</f>
        <v>0</v>
      </c>
      <c r="M563" s="233">
        <f t="shared" si="225"/>
        <v>0</v>
      </c>
      <c r="N563" s="213"/>
      <c r="O563" s="213"/>
      <c r="P563" s="213"/>
      <c r="Q563" s="213"/>
      <c r="R563" s="213"/>
      <c r="S563" s="213"/>
    </row>
    <row r="564" spans="2:19" s="214" customFormat="1" ht="46.8" hidden="1">
      <c r="B564" s="162" t="s">
        <v>83</v>
      </c>
      <c r="C564" s="232" t="s">
        <v>130</v>
      </c>
      <c r="D564" s="237" t="s">
        <v>79</v>
      </c>
      <c r="E564" s="232" t="s">
        <v>63</v>
      </c>
      <c r="F564" s="199" t="s">
        <v>225</v>
      </c>
      <c r="G564" s="199" t="s">
        <v>152</v>
      </c>
      <c r="H564" s="199" t="s">
        <v>86</v>
      </c>
      <c r="I564" s="164" t="s">
        <v>229</v>
      </c>
      <c r="J564" s="232" t="s">
        <v>84</v>
      </c>
      <c r="K564" s="233">
        <f>K565</f>
        <v>0</v>
      </c>
      <c r="L564" s="233">
        <f t="shared" si="225"/>
        <v>0</v>
      </c>
      <c r="M564" s="233">
        <f t="shared" si="225"/>
        <v>0</v>
      </c>
      <c r="N564" s="213"/>
      <c r="O564" s="213"/>
      <c r="P564" s="213"/>
      <c r="Q564" s="213"/>
      <c r="R564" s="213"/>
      <c r="S564" s="213"/>
    </row>
    <row r="565" spans="2:19" s="214" customFormat="1" ht="15.6" hidden="1">
      <c r="B565" s="162" t="s">
        <v>448</v>
      </c>
      <c r="C565" s="232" t="s">
        <v>130</v>
      </c>
      <c r="D565" s="237" t="s">
        <v>79</v>
      </c>
      <c r="E565" s="232" t="s">
        <v>63</v>
      </c>
      <c r="F565" s="199" t="s">
        <v>225</v>
      </c>
      <c r="G565" s="199" t="s">
        <v>152</v>
      </c>
      <c r="H565" s="199" t="s">
        <v>86</v>
      </c>
      <c r="I565" s="164" t="s">
        <v>229</v>
      </c>
      <c r="J565" s="232" t="s">
        <v>449</v>
      </c>
      <c r="K565" s="233">
        <f>0</f>
        <v>0</v>
      </c>
      <c r="L565" s="233">
        <f>0</f>
        <v>0</v>
      </c>
      <c r="M565" s="233">
        <f>0</f>
        <v>0</v>
      </c>
      <c r="N565" s="213"/>
      <c r="O565" s="213"/>
      <c r="P565" s="213"/>
      <c r="Q565" s="213"/>
      <c r="R565" s="213"/>
      <c r="S565" s="213"/>
    </row>
    <row r="566" spans="2:19" s="214" customFormat="1" ht="46.8">
      <c r="B566" s="198" t="s">
        <v>233</v>
      </c>
      <c r="C566" s="232" t="s">
        <v>130</v>
      </c>
      <c r="D566" s="237" t="s">
        <v>79</v>
      </c>
      <c r="E566" s="232" t="s">
        <v>63</v>
      </c>
      <c r="F566" s="199" t="s">
        <v>225</v>
      </c>
      <c r="G566" s="199" t="s">
        <v>58</v>
      </c>
      <c r="H566" s="199" t="s">
        <v>144</v>
      </c>
      <c r="I566" s="199" t="s">
        <v>145</v>
      </c>
      <c r="J566" s="232"/>
      <c r="K566" s="233">
        <f>K567+K574</f>
        <v>1250</v>
      </c>
      <c r="L566" s="233">
        <f t="shared" ref="L566:M566" si="226">L567+L574</f>
        <v>1250</v>
      </c>
      <c r="M566" s="233">
        <f t="shared" si="226"/>
        <v>1250</v>
      </c>
      <c r="N566" s="213"/>
      <c r="O566" s="213"/>
      <c r="P566" s="213"/>
      <c r="Q566" s="213"/>
      <c r="R566" s="213"/>
      <c r="S566" s="213"/>
    </row>
    <row r="567" spans="2:19" s="214" customFormat="1" ht="93.6">
      <c r="B567" s="198" t="s">
        <v>239</v>
      </c>
      <c r="C567" s="232" t="s">
        <v>130</v>
      </c>
      <c r="D567" s="237" t="s">
        <v>79</v>
      </c>
      <c r="E567" s="232" t="s">
        <v>63</v>
      </c>
      <c r="F567" s="199" t="s">
        <v>225</v>
      </c>
      <c r="G567" s="199" t="s">
        <v>58</v>
      </c>
      <c r="H567" s="199" t="s">
        <v>63</v>
      </c>
      <c r="I567" s="199" t="s">
        <v>145</v>
      </c>
      <c r="J567" s="232"/>
      <c r="K567" s="233">
        <f>K568+K571</f>
        <v>1100</v>
      </c>
      <c r="L567" s="233">
        <f t="shared" ref="L567:M567" si="227">L568+L571</f>
        <v>1100</v>
      </c>
      <c r="M567" s="233">
        <f t="shared" si="227"/>
        <v>1100</v>
      </c>
      <c r="N567" s="213"/>
      <c r="O567" s="213"/>
      <c r="P567" s="213"/>
      <c r="Q567" s="213"/>
      <c r="R567" s="213"/>
      <c r="S567" s="213"/>
    </row>
    <row r="568" spans="2:19" s="214" customFormat="1" ht="62.4" hidden="1">
      <c r="B568" s="176" t="s">
        <v>187</v>
      </c>
      <c r="C568" s="232" t="s">
        <v>130</v>
      </c>
      <c r="D568" s="237" t="s">
        <v>79</v>
      </c>
      <c r="E568" s="232" t="s">
        <v>63</v>
      </c>
      <c r="F568" s="199" t="s">
        <v>225</v>
      </c>
      <c r="G568" s="199" t="s">
        <v>58</v>
      </c>
      <c r="H568" s="199" t="s">
        <v>63</v>
      </c>
      <c r="I568" s="164" t="s">
        <v>188</v>
      </c>
      <c r="J568" s="232"/>
      <c r="K568" s="233">
        <f>K569</f>
        <v>0</v>
      </c>
      <c r="L568" s="233">
        <f t="shared" ref="L568:M569" si="228">L569</f>
        <v>0</v>
      </c>
      <c r="M568" s="233">
        <f t="shared" si="228"/>
        <v>0</v>
      </c>
      <c r="N568" s="213"/>
      <c r="O568" s="213"/>
      <c r="P568" s="213"/>
      <c r="Q568" s="213"/>
      <c r="R568" s="213"/>
      <c r="S568" s="213"/>
    </row>
    <row r="569" spans="2:19" s="214" customFormat="1" ht="46.8" hidden="1">
      <c r="B569" s="162" t="s">
        <v>83</v>
      </c>
      <c r="C569" s="232" t="s">
        <v>130</v>
      </c>
      <c r="D569" s="237" t="s">
        <v>79</v>
      </c>
      <c r="E569" s="232" t="s">
        <v>63</v>
      </c>
      <c r="F569" s="199" t="s">
        <v>225</v>
      </c>
      <c r="G569" s="199" t="s">
        <v>58</v>
      </c>
      <c r="H569" s="199" t="s">
        <v>63</v>
      </c>
      <c r="I569" s="164" t="s">
        <v>188</v>
      </c>
      <c r="J569" s="232" t="s">
        <v>84</v>
      </c>
      <c r="K569" s="233">
        <f>K570</f>
        <v>0</v>
      </c>
      <c r="L569" s="233">
        <f t="shared" si="228"/>
        <v>0</v>
      </c>
      <c r="M569" s="233">
        <f t="shared" si="228"/>
        <v>0</v>
      </c>
      <c r="N569" s="213"/>
      <c r="O569" s="213"/>
      <c r="P569" s="213"/>
      <c r="Q569" s="213"/>
      <c r="R569" s="213"/>
      <c r="S569" s="213"/>
    </row>
    <row r="570" spans="2:19" s="214" customFormat="1" ht="15.6" hidden="1">
      <c r="B570" s="162" t="s">
        <v>448</v>
      </c>
      <c r="C570" s="232" t="s">
        <v>130</v>
      </c>
      <c r="D570" s="237" t="s">
        <v>79</v>
      </c>
      <c r="E570" s="232" t="s">
        <v>63</v>
      </c>
      <c r="F570" s="199" t="s">
        <v>225</v>
      </c>
      <c r="G570" s="199" t="s">
        <v>58</v>
      </c>
      <c r="H570" s="199" t="s">
        <v>63</v>
      </c>
      <c r="I570" s="164" t="s">
        <v>188</v>
      </c>
      <c r="J570" s="232" t="s">
        <v>449</v>
      </c>
      <c r="K570" s="233">
        <f>0</f>
        <v>0</v>
      </c>
      <c r="L570" s="233">
        <f>0</f>
        <v>0</v>
      </c>
      <c r="M570" s="233">
        <f>0</f>
        <v>0</v>
      </c>
      <c r="N570" s="213"/>
      <c r="O570" s="213"/>
      <c r="P570" s="213"/>
      <c r="Q570" s="213"/>
      <c r="R570" s="213"/>
      <c r="S570" s="213"/>
    </row>
    <row r="571" spans="2:19" s="214" customFormat="1" ht="46.8">
      <c r="B571" s="176" t="s">
        <v>228</v>
      </c>
      <c r="C571" s="232" t="s">
        <v>130</v>
      </c>
      <c r="D571" s="237" t="s">
        <v>79</v>
      </c>
      <c r="E571" s="232" t="s">
        <v>63</v>
      </c>
      <c r="F571" s="199" t="s">
        <v>225</v>
      </c>
      <c r="G571" s="199" t="s">
        <v>58</v>
      </c>
      <c r="H571" s="199" t="s">
        <v>63</v>
      </c>
      <c r="I571" s="164" t="s">
        <v>229</v>
      </c>
      <c r="J571" s="232"/>
      <c r="K571" s="233">
        <f>K572</f>
        <v>1100</v>
      </c>
      <c r="L571" s="233">
        <f t="shared" ref="L571:M572" si="229">L572</f>
        <v>1100</v>
      </c>
      <c r="M571" s="233">
        <f t="shared" si="229"/>
        <v>1100</v>
      </c>
      <c r="N571" s="213"/>
      <c r="O571" s="213"/>
      <c r="P571" s="213"/>
      <c r="Q571" s="213"/>
      <c r="R571" s="213"/>
      <c r="S571" s="213"/>
    </row>
    <row r="572" spans="2:19" s="214" customFormat="1" ht="46.8">
      <c r="B572" s="162" t="s">
        <v>83</v>
      </c>
      <c r="C572" s="232" t="s">
        <v>130</v>
      </c>
      <c r="D572" s="237" t="s">
        <v>79</v>
      </c>
      <c r="E572" s="232" t="s">
        <v>63</v>
      </c>
      <c r="F572" s="199" t="s">
        <v>225</v>
      </c>
      <c r="G572" s="199" t="s">
        <v>58</v>
      </c>
      <c r="H572" s="199" t="s">
        <v>63</v>
      </c>
      <c r="I572" s="164" t="s">
        <v>229</v>
      </c>
      <c r="J572" s="232" t="s">
        <v>84</v>
      </c>
      <c r="K572" s="233">
        <f>K573</f>
        <v>1100</v>
      </c>
      <c r="L572" s="233">
        <f t="shared" si="229"/>
        <v>1100</v>
      </c>
      <c r="M572" s="233">
        <f t="shared" si="229"/>
        <v>1100</v>
      </c>
      <c r="N572" s="213"/>
      <c r="O572" s="213"/>
      <c r="P572" s="213"/>
      <c r="Q572" s="213"/>
      <c r="R572" s="213"/>
      <c r="S572" s="213"/>
    </row>
    <row r="573" spans="2:19" s="214" customFormat="1" ht="15.6">
      <c r="B573" s="162" t="s">
        <v>448</v>
      </c>
      <c r="C573" s="232" t="s">
        <v>130</v>
      </c>
      <c r="D573" s="237" t="s">
        <v>79</v>
      </c>
      <c r="E573" s="232" t="s">
        <v>63</v>
      </c>
      <c r="F573" s="199" t="s">
        <v>225</v>
      </c>
      <c r="G573" s="199" t="s">
        <v>58</v>
      </c>
      <c r="H573" s="199" t="s">
        <v>63</v>
      </c>
      <c r="I573" s="164" t="s">
        <v>229</v>
      </c>
      <c r="J573" s="232" t="s">
        <v>449</v>
      </c>
      <c r="K573" s="233">
        <f>1100</f>
        <v>1100</v>
      </c>
      <c r="L573" s="233">
        <f>1100</f>
        <v>1100</v>
      </c>
      <c r="M573" s="233">
        <f>1100</f>
        <v>1100</v>
      </c>
      <c r="N573" s="213"/>
      <c r="O573" s="213"/>
      <c r="P573" s="213"/>
      <c r="Q573" s="213"/>
      <c r="R573" s="213"/>
      <c r="S573" s="213"/>
    </row>
    <row r="574" spans="2:19" s="214" customFormat="1" ht="78">
      <c r="B574" s="198" t="s">
        <v>240</v>
      </c>
      <c r="C574" s="232" t="s">
        <v>130</v>
      </c>
      <c r="D574" s="237" t="s">
        <v>79</v>
      </c>
      <c r="E574" s="232" t="s">
        <v>63</v>
      </c>
      <c r="F574" s="199" t="s">
        <v>225</v>
      </c>
      <c r="G574" s="199" t="s">
        <v>58</v>
      </c>
      <c r="H574" s="199" t="s">
        <v>85</v>
      </c>
      <c r="I574" s="199" t="s">
        <v>145</v>
      </c>
      <c r="J574" s="232"/>
      <c r="K574" s="233">
        <f>K575+K578</f>
        <v>150</v>
      </c>
      <c r="L574" s="233">
        <f t="shared" ref="L574:M574" si="230">L575+L578</f>
        <v>150</v>
      </c>
      <c r="M574" s="233">
        <f t="shared" si="230"/>
        <v>150</v>
      </c>
      <c r="N574" s="213"/>
      <c r="O574" s="213"/>
      <c r="P574" s="213"/>
      <c r="Q574" s="213"/>
      <c r="R574" s="213"/>
      <c r="S574" s="213"/>
    </row>
    <row r="575" spans="2:19" s="214" customFormat="1" ht="62.4">
      <c r="B575" s="176" t="s">
        <v>187</v>
      </c>
      <c r="C575" s="232" t="s">
        <v>130</v>
      </c>
      <c r="D575" s="237" t="s">
        <v>79</v>
      </c>
      <c r="E575" s="232" t="s">
        <v>63</v>
      </c>
      <c r="F575" s="199" t="s">
        <v>225</v>
      </c>
      <c r="G575" s="199" t="s">
        <v>58</v>
      </c>
      <c r="H575" s="199" t="s">
        <v>85</v>
      </c>
      <c r="I575" s="164" t="s">
        <v>188</v>
      </c>
      <c r="J575" s="232"/>
      <c r="K575" s="233">
        <f>K576</f>
        <v>150</v>
      </c>
      <c r="L575" s="233">
        <f t="shared" ref="L575:M576" si="231">L576</f>
        <v>150</v>
      </c>
      <c r="M575" s="233">
        <f t="shared" si="231"/>
        <v>150</v>
      </c>
      <c r="N575" s="213"/>
      <c r="O575" s="213"/>
      <c r="P575" s="213"/>
      <c r="Q575" s="213"/>
      <c r="R575" s="213"/>
      <c r="S575" s="213"/>
    </row>
    <row r="576" spans="2:19" s="214" customFormat="1" ht="46.8">
      <c r="B576" s="162" t="s">
        <v>83</v>
      </c>
      <c r="C576" s="232" t="s">
        <v>130</v>
      </c>
      <c r="D576" s="237" t="s">
        <v>79</v>
      </c>
      <c r="E576" s="232" t="s">
        <v>63</v>
      </c>
      <c r="F576" s="199" t="s">
        <v>225</v>
      </c>
      <c r="G576" s="199" t="s">
        <v>58</v>
      </c>
      <c r="H576" s="199" t="s">
        <v>85</v>
      </c>
      <c r="I576" s="164" t="s">
        <v>188</v>
      </c>
      <c r="J576" s="232" t="s">
        <v>84</v>
      </c>
      <c r="K576" s="233">
        <f>K577</f>
        <v>150</v>
      </c>
      <c r="L576" s="233">
        <f t="shared" si="231"/>
        <v>150</v>
      </c>
      <c r="M576" s="233">
        <f t="shared" si="231"/>
        <v>150</v>
      </c>
      <c r="N576" s="213"/>
      <c r="O576" s="213"/>
      <c r="P576" s="213"/>
      <c r="Q576" s="213"/>
      <c r="R576" s="213"/>
      <c r="S576" s="213"/>
    </row>
    <row r="577" spans="2:19" s="214" customFormat="1" ht="15.6">
      <c r="B577" s="162" t="s">
        <v>448</v>
      </c>
      <c r="C577" s="232" t="s">
        <v>130</v>
      </c>
      <c r="D577" s="237" t="s">
        <v>79</v>
      </c>
      <c r="E577" s="232" t="s">
        <v>63</v>
      </c>
      <c r="F577" s="199" t="s">
        <v>225</v>
      </c>
      <c r="G577" s="199" t="s">
        <v>58</v>
      </c>
      <c r="H577" s="199" t="s">
        <v>85</v>
      </c>
      <c r="I577" s="164" t="s">
        <v>188</v>
      </c>
      <c r="J577" s="232" t="s">
        <v>449</v>
      </c>
      <c r="K577" s="233">
        <f>150</f>
        <v>150</v>
      </c>
      <c r="L577" s="233">
        <f>150</f>
        <v>150</v>
      </c>
      <c r="M577" s="233">
        <f>150</f>
        <v>150</v>
      </c>
      <c r="N577" s="213"/>
      <c r="O577" s="213"/>
      <c r="P577" s="213"/>
      <c r="Q577" s="213"/>
      <c r="R577" s="213"/>
      <c r="S577" s="213"/>
    </row>
    <row r="578" spans="2:19" s="214" customFormat="1" ht="46.8" hidden="1">
      <c r="B578" s="176" t="s">
        <v>228</v>
      </c>
      <c r="C578" s="232" t="s">
        <v>130</v>
      </c>
      <c r="D578" s="237" t="s">
        <v>79</v>
      </c>
      <c r="E578" s="232" t="s">
        <v>63</v>
      </c>
      <c r="F578" s="199" t="s">
        <v>225</v>
      </c>
      <c r="G578" s="199" t="s">
        <v>58</v>
      </c>
      <c r="H578" s="199" t="s">
        <v>85</v>
      </c>
      <c r="I578" s="164" t="s">
        <v>229</v>
      </c>
      <c r="J578" s="232"/>
      <c r="K578" s="233">
        <f>K579</f>
        <v>0</v>
      </c>
      <c r="L578" s="233">
        <f t="shared" ref="L578:M579" si="232">L579</f>
        <v>0</v>
      </c>
      <c r="M578" s="233">
        <f t="shared" si="232"/>
        <v>0</v>
      </c>
      <c r="N578" s="213"/>
      <c r="O578" s="213"/>
      <c r="P578" s="213"/>
      <c r="Q578" s="213"/>
      <c r="R578" s="213"/>
      <c r="S578" s="213"/>
    </row>
    <row r="579" spans="2:19" s="214" customFormat="1" ht="46.8" hidden="1">
      <c r="B579" s="162" t="s">
        <v>83</v>
      </c>
      <c r="C579" s="232" t="s">
        <v>130</v>
      </c>
      <c r="D579" s="237" t="s">
        <v>79</v>
      </c>
      <c r="E579" s="232" t="s">
        <v>63</v>
      </c>
      <c r="F579" s="199" t="s">
        <v>225</v>
      </c>
      <c r="G579" s="199" t="s">
        <v>58</v>
      </c>
      <c r="H579" s="199" t="s">
        <v>85</v>
      </c>
      <c r="I579" s="164" t="s">
        <v>229</v>
      </c>
      <c r="J579" s="232" t="s">
        <v>84</v>
      </c>
      <c r="K579" s="233">
        <f>K580</f>
        <v>0</v>
      </c>
      <c r="L579" s="233">
        <f t="shared" si="232"/>
        <v>0</v>
      </c>
      <c r="M579" s="233">
        <f t="shared" si="232"/>
        <v>0</v>
      </c>
      <c r="N579" s="213"/>
      <c r="O579" s="213"/>
      <c r="P579" s="213"/>
      <c r="Q579" s="213"/>
      <c r="R579" s="213"/>
      <c r="S579" s="213"/>
    </row>
    <row r="580" spans="2:19" s="214" customFormat="1" ht="15.6" hidden="1">
      <c r="B580" s="162" t="s">
        <v>448</v>
      </c>
      <c r="C580" s="232" t="s">
        <v>130</v>
      </c>
      <c r="D580" s="237" t="s">
        <v>79</v>
      </c>
      <c r="E580" s="232" t="s">
        <v>63</v>
      </c>
      <c r="F580" s="199" t="s">
        <v>225</v>
      </c>
      <c r="G580" s="199" t="s">
        <v>58</v>
      </c>
      <c r="H580" s="199" t="s">
        <v>85</v>
      </c>
      <c r="I580" s="164" t="s">
        <v>229</v>
      </c>
      <c r="J580" s="232" t="s">
        <v>449</v>
      </c>
      <c r="K580" s="233">
        <f>0</f>
        <v>0</v>
      </c>
      <c r="L580" s="233">
        <f>0</f>
        <v>0</v>
      </c>
      <c r="M580" s="233">
        <f>0</f>
        <v>0</v>
      </c>
      <c r="N580" s="213"/>
      <c r="O580" s="213"/>
      <c r="P580" s="213"/>
      <c r="Q580" s="213"/>
      <c r="R580" s="213"/>
      <c r="S580" s="213"/>
    </row>
    <row r="581" spans="2:19" s="30" customFormat="1" ht="31.2" hidden="1">
      <c r="B581" s="183" t="s">
        <v>109</v>
      </c>
      <c r="C581" s="146" t="s">
        <v>110</v>
      </c>
      <c r="D581" s="146"/>
      <c r="E581" s="146"/>
      <c r="F581" s="146"/>
      <c r="G581" s="146"/>
      <c r="H581" s="146"/>
      <c r="I581" s="146"/>
      <c r="J581" s="146"/>
      <c r="K581" s="148">
        <f>K582</f>
        <v>0</v>
      </c>
      <c r="L581" s="148">
        <f t="shared" ref="L581:M584" si="233">L582</f>
        <v>0</v>
      </c>
      <c r="M581" s="148">
        <f t="shared" si="233"/>
        <v>0</v>
      </c>
      <c r="N581" s="149"/>
      <c r="O581" s="149"/>
    </row>
    <row r="582" spans="2:19" s="30" customFormat="1" ht="15.6" hidden="1">
      <c r="B582" s="150" t="s">
        <v>62</v>
      </c>
      <c r="C582" s="146" t="s">
        <v>110</v>
      </c>
      <c r="D582" s="146" t="s">
        <v>63</v>
      </c>
      <c r="E582" s="146"/>
      <c r="F582" s="146"/>
      <c r="G582" s="146"/>
      <c r="H582" s="146"/>
      <c r="I582" s="146"/>
      <c r="J582" s="146"/>
      <c r="K582" s="148">
        <f>K583</f>
        <v>0</v>
      </c>
      <c r="L582" s="148">
        <f t="shared" si="233"/>
        <v>0</v>
      </c>
      <c r="M582" s="148">
        <f t="shared" si="233"/>
        <v>0</v>
      </c>
      <c r="N582" s="149"/>
      <c r="O582" s="149"/>
    </row>
    <row r="583" spans="2:19" s="30" customFormat="1" ht="78" hidden="1">
      <c r="B583" s="150" t="s">
        <v>111</v>
      </c>
      <c r="C583" s="146" t="s">
        <v>110</v>
      </c>
      <c r="D583" s="146" t="s">
        <v>63</v>
      </c>
      <c r="E583" s="146" t="s">
        <v>86</v>
      </c>
      <c r="F583" s="146"/>
      <c r="G583" s="146"/>
      <c r="H583" s="146"/>
      <c r="I583" s="146"/>
      <c r="J583" s="146"/>
      <c r="K583" s="148">
        <f>K584</f>
        <v>0</v>
      </c>
      <c r="L583" s="148">
        <f t="shared" si="233"/>
        <v>0</v>
      </c>
      <c r="M583" s="148">
        <f t="shared" si="233"/>
        <v>0</v>
      </c>
      <c r="N583" s="149"/>
      <c r="O583" s="149"/>
    </row>
    <row r="584" spans="2:19" s="161" customFormat="1" ht="31.2" hidden="1">
      <c r="B584" s="179" t="s">
        <v>178</v>
      </c>
      <c r="C584" s="157" t="s">
        <v>110</v>
      </c>
      <c r="D584" s="157" t="s">
        <v>63</v>
      </c>
      <c r="E584" s="157" t="s">
        <v>86</v>
      </c>
      <c r="F584" s="164" t="s">
        <v>179</v>
      </c>
      <c r="G584" s="164" t="s">
        <v>143</v>
      </c>
      <c r="H584" s="164" t="s">
        <v>144</v>
      </c>
      <c r="I584" s="164" t="s">
        <v>145</v>
      </c>
      <c r="J584" s="157"/>
      <c r="K584" s="159">
        <f>K585</f>
        <v>0</v>
      </c>
      <c r="L584" s="159">
        <f t="shared" si="233"/>
        <v>0</v>
      </c>
      <c r="M584" s="159">
        <f t="shared" si="233"/>
        <v>0</v>
      </c>
      <c r="N584" s="160"/>
      <c r="O584" s="160"/>
    </row>
    <row r="585" spans="2:19" s="161" customFormat="1" ht="31.2" hidden="1">
      <c r="B585" s="179" t="s">
        <v>191</v>
      </c>
      <c r="C585" s="157" t="s">
        <v>110</v>
      </c>
      <c r="D585" s="157" t="s">
        <v>63</v>
      </c>
      <c r="E585" s="157" t="s">
        <v>86</v>
      </c>
      <c r="F585" s="164" t="s">
        <v>179</v>
      </c>
      <c r="G585" s="157">
        <v>1</v>
      </c>
      <c r="H585" s="164" t="s">
        <v>144</v>
      </c>
      <c r="I585" s="164" t="s">
        <v>145</v>
      </c>
      <c r="J585" s="157"/>
      <c r="K585" s="159">
        <f>K586+K589+K594</f>
        <v>0</v>
      </c>
      <c r="L585" s="159">
        <f t="shared" ref="L585:M585" si="234">L586+L589+L594</f>
        <v>0</v>
      </c>
      <c r="M585" s="159">
        <f t="shared" si="234"/>
        <v>0</v>
      </c>
      <c r="N585" s="160"/>
      <c r="O585" s="160"/>
    </row>
    <row r="586" spans="2:19" s="161" customFormat="1" ht="46.8" hidden="1">
      <c r="B586" s="179" t="s">
        <v>192</v>
      </c>
      <c r="C586" s="157" t="s">
        <v>110</v>
      </c>
      <c r="D586" s="157" t="s">
        <v>63</v>
      </c>
      <c r="E586" s="157" t="s">
        <v>86</v>
      </c>
      <c r="F586" s="164" t="s">
        <v>179</v>
      </c>
      <c r="G586" s="164" t="s">
        <v>152</v>
      </c>
      <c r="H586" s="164" t="s">
        <v>144</v>
      </c>
      <c r="I586" s="164" t="s">
        <v>193</v>
      </c>
      <c r="J586" s="157"/>
      <c r="K586" s="159">
        <f>K587</f>
        <v>0</v>
      </c>
      <c r="L586" s="159">
        <f t="shared" ref="L586:M587" si="235">L587</f>
        <v>0</v>
      </c>
      <c r="M586" s="159">
        <f t="shared" si="235"/>
        <v>0</v>
      </c>
      <c r="N586" s="160"/>
      <c r="O586" s="160"/>
    </row>
    <row r="587" spans="2:19" s="161" customFormat="1" ht="93.6" hidden="1">
      <c r="B587" s="162" t="s">
        <v>65</v>
      </c>
      <c r="C587" s="157" t="s">
        <v>110</v>
      </c>
      <c r="D587" s="157" t="s">
        <v>63</v>
      </c>
      <c r="E587" s="157" t="s">
        <v>86</v>
      </c>
      <c r="F587" s="164" t="s">
        <v>179</v>
      </c>
      <c r="G587" s="164" t="s">
        <v>152</v>
      </c>
      <c r="H587" s="164" t="s">
        <v>144</v>
      </c>
      <c r="I587" s="164" t="s">
        <v>193</v>
      </c>
      <c r="J587" s="157" t="s">
        <v>66</v>
      </c>
      <c r="K587" s="159">
        <f>K588</f>
        <v>0</v>
      </c>
      <c r="L587" s="159">
        <f t="shared" si="235"/>
        <v>0</v>
      </c>
      <c r="M587" s="159">
        <f t="shared" si="235"/>
        <v>0</v>
      </c>
      <c r="N587" s="160"/>
      <c r="O587" s="160"/>
    </row>
    <row r="588" spans="2:19" s="161" customFormat="1" ht="46.8" hidden="1">
      <c r="B588" s="162" t="s">
        <v>67</v>
      </c>
      <c r="C588" s="157" t="s">
        <v>110</v>
      </c>
      <c r="D588" s="157" t="s">
        <v>63</v>
      </c>
      <c r="E588" s="157" t="s">
        <v>86</v>
      </c>
      <c r="F588" s="164" t="s">
        <v>179</v>
      </c>
      <c r="G588" s="164" t="s">
        <v>152</v>
      </c>
      <c r="H588" s="164" t="s">
        <v>144</v>
      </c>
      <c r="I588" s="164" t="s">
        <v>193</v>
      </c>
      <c r="J588" s="157" t="s">
        <v>68</v>
      </c>
      <c r="K588" s="159">
        <f>0</f>
        <v>0</v>
      </c>
      <c r="L588" s="159">
        <f>0</f>
        <v>0</v>
      </c>
      <c r="M588" s="159">
        <f>0</f>
        <v>0</v>
      </c>
      <c r="N588" s="160"/>
      <c r="O588" s="160"/>
    </row>
    <row r="589" spans="2:19" s="161" customFormat="1" ht="31.2" hidden="1">
      <c r="B589" s="179" t="s">
        <v>69</v>
      </c>
      <c r="C589" s="157" t="s">
        <v>110</v>
      </c>
      <c r="D589" s="157" t="s">
        <v>63</v>
      </c>
      <c r="E589" s="157" t="s">
        <v>86</v>
      </c>
      <c r="F589" s="164" t="s">
        <v>179</v>
      </c>
      <c r="G589" s="164" t="s">
        <v>152</v>
      </c>
      <c r="H589" s="164" t="s">
        <v>144</v>
      </c>
      <c r="I589" s="164" t="s">
        <v>194</v>
      </c>
      <c r="J589" s="157"/>
      <c r="K589" s="159">
        <f>K590+K592</f>
        <v>0</v>
      </c>
      <c r="L589" s="159">
        <f t="shared" ref="L589:M589" si="236">L590+L592</f>
        <v>0</v>
      </c>
      <c r="M589" s="159">
        <f t="shared" si="236"/>
        <v>0</v>
      </c>
      <c r="N589" s="160"/>
      <c r="O589" s="160"/>
    </row>
    <row r="590" spans="2:19" s="161" customFormat="1" ht="93.6" hidden="1">
      <c r="B590" s="162" t="s">
        <v>65</v>
      </c>
      <c r="C590" s="157" t="s">
        <v>110</v>
      </c>
      <c r="D590" s="157" t="s">
        <v>63</v>
      </c>
      <c r="E590" s="157" t="s">
        <v>86</v>
      </c>
      <c r="F590" s="164" t="s">
        <v>179</v>
      </c>
      <c r="G590" s="164" t="s">
        <v>152</v>
      </c>
      <c r="H590" s="164" t="s">
        <v>144</v>
      </c>
      <c r="I590" s="164" t="s">
        <v>194</v>
      </c>
      <c r="J590" s="157" t="s">
        <v>66</v>
      </c>
      <c r="K590" s="159">
        <f>K591</f>
        <v>0</v>
      </c>
      <c r="L590" s="159">
        <f t="shared" ref="L590:M590" si="237">L591</f>
        <v>0</v>
      </c>
      <c r="M590" s="159">
        <f t="shared" si="237"/>
        <v>0</v>
      </c>
      <c r="N590" s="160"/>
      <c r="O590" s="160"/>
    </row>
    <row r="591" spans="2:19" s="161" customFormat="1" ht="46.8" hidden="1">
      <c r="B591" s="162" t="s">
        <v>67</v>
      </c>
      <c r="C591" s="157" t="s">
        <v>110</v>
      </c>
      <c r="D591" s="157" t="s">
        <v>63</v>
      </c>
      <c r="E591" s="157" t="s">
        <v>86</v>
      </c>
      <c r="F591" s="164" t="s">
        <v>179</v>
      </c>
      <c r="G591" s="164" t="s">
        <v>152</v>
      </c>
      <c r="H591" s="164" t="s">
        <v>144</v>
      </c>
      <c r="I591" s="164" t="s">
        <v>194</v>
      </c>
      <c r="J591" s="157" t="s">
        <v>68</v>
      </c>
      <c r="K591" s="159">
        <f>0</f>
        <v>0</v>
      </c>
      <c r="L591" s="159">
        <f>0</f>
        <v>0</v>
      </c>
      <c r="M591" s="159">
        <f>0</f>
        <v>0</v>
      </c>
      <c r="N591" s="160"/>
      <c r="O591" s="160"/>
    </row>
    <row r="592" spans="2:19" s="161" customFormat="1" ht="46.8" hidden="1">
      <c r="B592" s="162" t="s">
        <v>148</v>
      </c>
      <c r="C592" s="157" t="s">
        <v>110</v>
      </c>
      <c r="D592" s="157" t="s">
        <v>63</v>
      </c>
      <c r="E592" s="157" t="s">
        <v>86</v>
      </c>
      <c r="F592" s="164" t="s">
        <v>179</v>
      </c>
      <c r="G592" s="164" t="s">
        <v>152</v>
      </c>
      <c r="H592" s="164" t="s">
        <v>144</v>
      </c>
      <c r="I592" s="164" t="s">
        <v>194</v>
      </c>
      <c r="J592" s="158" t="s">
        <v>71</v>
      </c>
      <c r="K592" s="159">
        <f>K593</f>
        <v>0</v>
      </c>
      <c r="L592" s="159">
        <f t="shared" ref="L592:M592" si="238">L593</f>
        <v>0</v>
      </c>
      <c r="M592" s="159">
        <f t="shared" si="238"/>
        <v>0</v>
      </c>
      <c r="N592" s="160"/>
      <c r="O592" s="160"/>
    </row>
    <row r="593" spans="2:19" s="161" customFormat="1" ht="46.8" hidden="1">
      <c r="B593" s="162" t="s">
        <v>72</v>
      </c>
      <c r="C593" s="157" t="s">
        <v>110</v>
      </c>
      <c r="D593" s="157" t="s">
        <v>63</v>
      </c>
      <c r="E593" s="157" t="s">
        <v>86</v>
      </c>
      <c r="F593" s="164" t="s">
        <v>179</v>
      </c>
      <c r="G593" s="164" t="s">
        <v>152</v>
      </c>
      <c r="H593" s="164" t="s">
        <v>144</v>
      </c>
      <c r="I593" s="164" t="s">
        <v>194</v>
      </c>
      <c r="J593" s="158" t="s">
        <v>73</v>
      </c>
      <c r="K593" s="159">
        <f>0</f>
        <v>0</v>
      </c>
      <c r="L593" s="159">
        <f>0</f>
        <v>0</v>
      </c>
      <c r="M593" s="159">
        <f>0</f>
        <v>0</v>
      </c>
      <c r="N593" s="160"/>
      <c r="O593" s="160"/>
    </row>
    <row r="594" spans="2:19" s="161" customFormat="1" ht="46.8" hidden="1">
      <c r="B594" s="162" t="s">
        <v>195</v>
      </c>
      <c r="C594" s="157" t="s">
        <v>110</v>
      </c>
      <c r="D594" s="156" t="s">
        <v>63</v>
      </c>
      <c r="E594" s="156" t="s">
        <v>86</v>
      </c>
      <c r="F594" s="164" t="s">
        <v>179</v>
      </c>
      <c r="G594" s="164" t="s">
        <v>152</v>
      </c>
      <c r="H594" s="164" t="s">
        <v>144</v>
      </c>
      <c r="I594" s="164" t="s">
        <v>196</v>
      </c>
      <c r="J594" s="157"/>
      <c r="K594" s="159">
        <f>K595</f>
        <v>0</v>
      </c>
      <c r="L594" s="159">
        <f t="shared" ref="L594:M595" si="239">L595</f>
        <v>0</v>
      </c>
      <c r="M594" s="159">
        <f t="shared" si="239"/>
        <v>0</v>
      </c>
      <c r="N594" s="160"/>
      <c r="O594" s="160"/>
    </row>
    <row r="595" spans="2:19" s="161" customFormat="1" ht="15.6" hidden="1">
      <c r="B595" s="162" t="s">
        <v>74</v>
      </c>
      <c r="C595" s="157" t="s">
        <v>110</v>
      </c>
      <c r="D595" s="156" t="s">
        <v>63</v>
      </c>
      <c r="E595" s="156" t="s">
        <v>86</v>
      </c>
      <c r="F595" s="164" t="s">
        <v>179</v>
      </c>
      <c r="G595" s="164" t="s">
        <v>152</v>
      </c>
      <c r="H595" s="164" t="s">
        <v>144</v>
      </c>
      <c r="I595" s="164" t="s">
        <v>196</v>
      </c>
      <c r="J595" s="157" t="s">
        <v>75</v>
      </c>
      <c r="K595" s="159">
        <f>K596</f>
        <v>0</v>
      </c>
      <c r="L595" s="159">
        <f t="shared" si="239"/>
        <v>0</v>
      </c>
      <c r="M595" s="159">
        <f t="shared" si="239"/>
        <v>0</v>
      </c>
      <c r="N595" s="160"/>
      <c r="O595" s="160"/>
    </row>
    <row r="596" spans="2:19" s="161" customFormat="1" ht="31.2" hidden="1">
      <c r="B596" s="162" t="s">
        <v>76</v>
      </c>
      <c r="C596" s="157" t="s">
        <v>110</v>
      </c>
      <c r="D596" s="156" t="s">
        <v>63</v>
      </c>
      <c r="E596" s="156" t="s">
        <v>86</v>
      </c>
      <c r="F596" s="164" t="s">
        <v>179</v>
      </c>
      <c r="G596" s="164" t="s">
        <v>152</v>
      </c>
      <c r="H596" s="164" t="s">
        <v>144</v>
      </c>
      <c r="I596" s="164" t="s">
        <v>196</v>
      </c>
      <c r="J596" s="157" t="s">
        <v>77</v>
      </c>
      <c r="K596" s="159">
        <f>(35+12)-47</f>
        <v>0</v>
      </c>
      <c r="L596" s="159">
        <f t="shared" ref="L596:M596" si="240">(35+12)-47</f>
        <v>0</v>
      </c>
      <c r="M596" s="159">
        <f t="shared" si="240"/>
        <v>0</v>
      </c>
      <c r="N596" s="160"/>
      <c r="O596" s="160"/>
    </row>
    <row r="597" spans="2:19" s="214" customFormat="1" ht="16.2" thickBot="1">
      <c r="B597" s="239" t="s">
        <v>102</v>
      </c>
      <c r="C597" s="240"/>
      <c r="D597" s="241"/>
      <c r="E597" s="241"/>
      <c r="F597" s="241"/>
      <c r="G597" s="241"/>
      <c r="H597" s="241"/>
      <c r="I597" s="241"/>
      <c r="J597" s="241"/>
      <c r="K597" s="242">
        <f>K14+K105+K488+K581</f>
        <v>77634</v>
      </c>
      <c r="L597" s="242">
        <f>L14+L105+L488+L581</f>
        <v>78546.683199999999</v>
      </c>
      <c r="M597" s="242">
        <f>M14+M105+M488+M581</f>
        <v>81365.914099999995</v>
      </c>
      <c r="N597" s="213"/>
      <c r="O597" s="213"/>
      <c r="P597" s="213"/>
      <c r="Q597" s="213"/>
      <c r="R597" s="213"/>
      <c r="S597" s="213"/>
    </row>
    <row r="599" spans="2:19">
      <c r="B599" s="342" t="s">
        <v>463</v>
      </c>
      <c r="C599" s="342"/>
      <c r="D599" s="342"/>
      <c r="E599" s="342"/>
      <c r="F599" s="342"/>
    </row>
    <row r="600" spans="2:19">
      <c r="B600" s="342" t="s">
        <v>464</v>
      </c>
      <c r="C600" s="342"/>
      <c r="D600" s="342"/>
      <c r="E600" s="342"/>
      <c r="F600" s="342"/>
      <c r="G600" s="132"/>
      <c r="H600" s="132"/>
      <c r="I600" s="132"/>
      <c r="L600" s="343" t="s">
        <v>467</v>
      </c>
      <c r="M600" s="343"/>
    </row>
    <row r="601" spans="2:19">
      <c r="D601" s="132"/>
      <c r="E601" s="132"/>
      <c r="F601" s="132"/>
      <c r="G601" s="132"/>
      <c r="H601" s="132"/>
      <c r="I601" s="132"/>
    </row>
    <row r="602" spans="2:19">
      <c r="D602" s="132"/>
      <c r="E602" s="132"/>
      <c r="F602" s="132"/>
      <c r="G602" s="132"/>
      <c r="H602" s="132"/>
      <c r="I602" s="132"/>
    </row>
    <row r="603" spans="2:19">
      <c r="D603" s="132"/>
      <c r="E603" s="132"/>
      <c r="F603" s="132"/>
      <c r="G603" s="132"/>
      <c r="H603" s="132"/>
      <c r="I603" s="132"/>
    </row>
    <row r="604" spans="2:19">
      <c r="D604" s="132"/>
      <c r="E604" s="132"/>
      <c r="F604" s="132"/>
      <c r="G604" s="132"/>
      <c r="H604" s="132"/>
      <c r="I604" s="132"/>
    </row>
    <row r="605" spans="2:19">
      <c r="D605" s="132"/>
      <c r="E605" s="132"/>
      <c r="F605" s="132"/>
      <c r="G605" s="132"/>
      <c r="H605" s="132"/>
      <c r="I605" s="132"/>
    </row>
    <row r="606" spans="2:19">
      <c r="D606" s="132"/>
      <c r="E606" s="132"/>
      <c r="F606" s="132"/>
      <c r="G606" s="132"/>
      <c r="H606" s="132"/>
      <c r="I606" s="132"/>
    </row>
    <row r="607" spans="2:19">
      <c r="D607" s="132"/>
      <c r="E607" s="132"/>
      <c r="F607" s="132"/>
      <c r="G607" s="132"/>
      <c r="H607" s="132"/>
      <c r="I607" s="132"/>
    </row>
    <row r="608" spans="2:19">
      <c r="D608" s="132"/>
      <c r="E608" s="132"/>
      <c r="F608" s="132"/>
      <c r="G608" s="132"/>
      <c r="H608" s="132"/>
      <c r="I608" s="132"/>
    </row>
    <row r="609" spans="4:9">
      <c r="D609" s="132"/>
      <c r="E609" s="132"/>
      <c r="F609" s="132"/>
      <c r="G609" s="132"/>
      <c r="H609" s="132"/>
      <c r="I609" s="132"/>
    </row>
    <row r="610" spans="4:9">
      <c r="D610" s="132"/>
      <c r="E610" s="132"/>
      <c r="F610" s="132"/>
      <c r="G610" s="132"/>
      <c r="H610" s="132"/>
      <c r="I610" s="132"/>
    </row>
    <row r="611" spans="4:9">
      <c r="D611" s="132"/>
      <c r="E611" s="132"/>
      <c r="F611" s="132"/>
      <c r="G611" s="132"/>
      <c r="H611" s="132"/>
      <c r="I611" s="132"/>
    </row>
    <row r="612" spans="4:9">
      <c r="D612" s="132"/>
      <c r="E612" s="132"/>
      <c r="F612" s="132"/>
      <c r="G612" s="132"/>
      <c r="H612" s="132"/>
      <c r="I612" s="132"/>
    </row>
    <row r="613" spans="4:9">
      <c r="D613" s="132"/>
      <c r="E613" s="132"/>
      <c r="F613" s="132"/>
      <c r="G613" s="132"/>
      <c r="H613" s="132"/>
      <c r="I613" s="132"/>
    </row>
    <row r="614" spans="4:9">
      <c r="D614" s="132"/>
      <c r="E614" s="132"/>
      <c r="F614" s="132"/>
      <c r="G614" s="132"/>
      <c r="H614" s="132"/>
      <c r="I614" s="132"/>
    </row>
    <row r="615" spans="4:9">
      <c r="D615" s="132"/>
      <c r="E615" s="132"/>
      <c r="F615" s="132"/>
      <c r="G615" s="132"/>
      <c r="H615" s="132"/>
      <c r="I615" s="132"/>
    </row>
    <row r="616" spans="4:9">
      <c r="D616" s="132"/>
      <c r="E616" s="132"/>
      <c r="F616" s="132"/>
      <c r="G616" s="132"/>
      <c r="H616" s="132"/>
      <c r="I616" s="132"/>
    </row>
    <row r="617" spans="4:9">
      <c r="D617" s="132"/>
      <c r="E617" s="132"/>
      <c r="F617" s="132"/>
      <c r="G617" s="132"/>
      <c r="H617" s="132"/>
      <c r="I617" s="132"/>
    </row>
    <row r="618" spans="4:9">
      <c r="D618" s="132"/>
      <c r="E618" s="132"/>
      <c r="F618" s="132"/>
      <c r="G618" s="132"/>
      <c r="H618" s="132"/>
      <c r="I618" s="132"/>
    </row>
    <row r="619" spans="4:9">
      <c r="D619" s="132"/>
      <c r="E619" s="132"/>
      <c r="F619" s="132"/>
      <c r="G619" s="132"/>
      <c r="H619" s="132"/>
      <c r="I619" s="132"/>
    </row>
    <row r="620" spans="4:9">
      <c r="D620" s="132"/>
      <c r="E620" s="132"/>
      <c r="F620" s="132"/>
      <c r="G620" s="132"/>
      <c r="H620" s="132"/>
      <c r="I620" s="132"/>
    </row>
    <row r="621" spans="4:9">
      <c r="D621" s="132"/>
      <c r="E621" s="132"/>
      <c r="F621" s="132"/>
      <c r="G621" s="132"/>
      <c r="H621" s="132"/>
      <c r="I621" s="132"/>
    </row>
    <row r="622" spans="4:9">
      <c r="D622" s="132"/>
      <c r="E622" s="132"/>
      <c r="F622" s="132"/>
      <c r="G622" s="132"/>
      <c r="H622" s="132"/>
      <c r="I622" s="132"/>
    </row>
    <row r="623" spans="4:9">
      <c r="D623" s="132"/>
      <c r="E623" s="132"/>
      <c r="F623" s="132"/>
      <c r="G623" s="132"/>
      <c r="H623" s="132"/>
      <c r="I623" s="132"/>
    </row>
    <row r="624" spans="4:9">
      <c r="D624" s="132"/>
      <c r="E624" s="132"/>
      <c r="F624" s="132"/>
      <c r="G624" s="132"/>
      <c r="H624" s="132"/>
      <c r="I624" s="132"/>
    </row>
    <row r="625" spans="4:9">
      <c r="D625" s="132"/>
      <c r="E625" s="132"/>
      <c r="F625" s="132"/>
      <c r="G625" s="132"/>
      <c r="H625" s="132"/>
      <c r="I625" s="132"/>
    </row>
    <row r="626" spans="4:9">
      <c r="D626" s="132"/>
      <c r="E626" s="132"/>
      <c r="F626" s="132"/>
      <c r="G626" s="132"/>
      <c r="H626" s="132"/>
      <c r="I626" s="132"/>
    </row>
    <row r="627" spans="4:9">
      <c r="D627" s="132"/>
      <c r="E627" s="132"/>
      <c r="F627" s="132"/>
      <c r="G627" s="132"/>
      <c r="H627" s="132"/>
      <c r="I627" s="132"/>
    </row>
    <row r="628" spans="4:9">
      <c r="D628" s="132"/>
      <c r="E628" s="132"/>
      <c r="F628" s="132"/>
      <c r="G628" s="132"/>
      <c r="H628" s="132"/>
      <c r="I628" s="132"/>
    </row>
    <row r="629" spans="4:9">
      <c r="D629" s="132"/>
      <c r="E629" s="132"/>
      <c r="F629" s="132"/>
      <c r="G629" s="132"/>
      <c r="H629" s="132"/>
      <c r="I629" s="132"/>
    </row>
    <row r="630" spans="4:9">
      <c r="D630" s="132"/>
      <c r="E630" s="132"/>
      <c r="F630" s="132"/>
      <c r="G630" s="132"/>
      <c r="H630" s="132"/>
      <c r="I630" s="132"/>
    </row>
    <row r="631" spans="4:9">
      <c r="D631" s="132"/>
      <c r="E631" s="132"/>
      <c r="F631" s="132"/>
      <c r="G631" s="132"/>
      <c r="H631" s="132"/>
      <c r="I631" s="132"/>
    </row>
    <row r="632" spans="4:9">
      <c r="D632" s="132"/>
      <c r="E632" s="132"/>
      <c r="F632" s="132"/>
      <c r="G632" s="132"/>
      <c r="H632" s="132"/>
      <c r="I632" s="132"/>
    </row>
    <row r="633" spans="4:9">
      <c r="D633" s="132"/>
      <c r="E633" s="132"/>
      <c r="F633" s="132"/>
      <c r="G633" s="132"/>
      <c r="H633" s="132"/>
      <c r="I633" s="132"/>
    </row>
    <row r="634" spans="4:9">
      <c r="D634" s="132"/>
      <c r="E634" s="132"/>
      <c r="F634" s="132"/>
      <c r="G634" s="132"/>
      <c r="H634" s="132"/>
      <c r="I634" s="132"/>
    </row>
    <row r="635" spans="4:9">
      <c r="D635" s="132"/>
      <c r="E635" s="132"/>
      <c r="F635" s="132"/>
      <c r="G635" s="132"/>
      <c r="H635" s="132"/>
      <c r="I635" s="132"/>
    </row>
    <row r="636" spans="4:9">
      <c r="D636" s="132"/>
      <c r="E636" s="132"/>
      <c r="F636" s="132"/>
      <c r="G636" s="132"/>
      <c r="H636" s="132"/>
      <c r="I636" s="132"/>
    </row>
    <row r="637" spans="4:9">
      <c r="D637" s="132"/>
      <c r="E637" s="132"/>
      <c r="F637" s="132"/>
      <c r="G637" s="132"/>
      <c r="H637" s="132"/>
      <c r="I637" s="132"/>
    </row>
    <row r="638" spans="4:9">
      <c r="D638" s="132"/>
      <c r="E638" s="132"/>
      <c r="F638" s="132"/>
      <c r="G638" s="132"/>
      <c r="H638" s="132"/>
      <c r="I638" s="132"/>
    </row>
    <row r="639" spans="4:9">
      <c r="D639" s="132"/>
      <c r="E639" s="132"/>
      <c r="F639" s="132"/>
      <c r="G639" s="132"/>
      <c r="H639" s="132"/>
      <c r="I639" s="132"/>
    </row>
    <row r="640" spans="4:9">
      <c r="D640" s="132"/>
      <c r="E640" s="132"/>
      <c r="F640" s="132"/>
      <c r="G640" s="132"/>
      <c r="H640" s="132"/>
      <c r="I640" s="132"/>
    </row>
    <row r="641" spans="4:9">
      <c r="D641" s="132"/>
      <c r="E641" s="132"/>
      <c r="F641" s="132"/>
      <c r="G641" s="132"/>
      <c r="H641" s="132"/>
      <c r="I641" s="132"/>
    </row>
    <row r="642" spans="4:9">
      <c r="D642" s="132"/>
      <c r="E642" s="132"/>
      <c r="F642" s="132"/>
      <c r="G642" s="132"/>
      <c r="H642" s="132"/>
      <c r="I642" s="132"/>
    </row>
    <row r="643" spans="4:9">
      <c r="D643" s="132"/>
      <c r="E643" s="132"/>
      <c r="F643" s="132"/>
      <c r="G643" s="132"/>
      <c r="H643" s="132"/>
      <c r="I643" s="132"/>
    </row>
    <row r="644" spans="4:9">
      <c r="D644" s="132"/>
      <c r="E644" s="132"/>
      <c r="F644" s="132"/>
      <c r="G644" s="132"/>
      <c r="H644" s="132"/>
      <c r="I644" s="132"/>
    </row>
    <row r="645" spans="4:9">
      <c r="D645" s="132"/>
      <c r="E645" s="132"/>
      <c r="F645" s="132"/>
      <c r="G645" s="132"/>
      <c r="H645" s="132"/>
      <c r="I645" s="132"/>
    </row>
    <row r="646" spans="4:9">
      <c r="D646" s="132"/>
      <c r="E646" s="132"/>
      <c r="F646" s="132"/>
      <c r="G646" s="132"/>
      <c r="H646" s="132"/>
      <c r="I646" s="132"/>
    </row>
    <row r="647" spans="4:9">
      <c r="D647" s="132"/>
      <c r="E647" s="132"/>
      <c r="F647" s="132"/>
      <c r="G647" s="132"/>
      <c r="H647" s="132"/>
      <c r="I647" s="132"/>
    </row>
    <row r="648" spans="4:9">
      <c r="D648" s="132"/>
      <c r="E648" s="132"/>
      <c r="F648" s="132"/>
      <c r="G648" s="132"/>
      <c r="H648" s="132"/>
      <c r="I648" s="132"/>
    </row>
    <row r="649" spans="4:9">
      <c r="D649" s="132"/>
      <c r="E649" s="132"/>
      <c r="F649" s="132"/>
      <c r="G649" s="132"/>
      <c r="H649" s="132"/>
      <c r="I649" s="132"/>
    </row>
    <row r="650" spans="4:9">
      <c r="D650" s="132"/>
      <c r="E650" s="132"/>
      <c r="F650" s="132"/>
      <c r="G650" s="132"/>
      <c r="H650" s="132"/>
      <c r="I650" s="132"/>
    </row>
    <row r="651" spans="4:9">
      <c r="D651" s="132"/>
      <c r="E651" s="132"/>
      <c r="F651" s="132"/>
      <c r="G651" s="132"/>
      <c r="H651" s="132"/>
      <c r="I651" s="132"/>
    </row>
    <row r="652" spans="4:9">
      <c r="D652" s="132"/>
      <c r="E652" s="132"/>
      <c r="F652" s="132"/>
      <c r="G652" s="132"/>
      <c r="H652" s="132"/>
      <c r="I652" s="132"/>
    </row>
    <row r="653" spans="4:9">
      <c r="D653" s="132"/>
      <c r="E653" s="132"/>
      <c r="F653" s="132"/>
      <c r="G653" s="132"/>
      <c r="H653" s="132"/>
      <c r="I653" s="132"/>
    </row>
    <row r="654" spans="4:9">
      <c r="D654" s="132"/>
      <c r="E654" s="132"/>
      <c r="F654" s="132"/>
      <c r="G654" s="132"/>
      <c r="H654" s="132"/>
      <c r="I654" s="132"/>
    </row>
    <row r="655" spans="4:9">
      <c r="D655" s="132"/>
      <c r="E655" s="132"/>
      <c r="F655" s="132"/>
      <c r="G655" s="132"/>
      <c r="H655" s="132"/>
      <c r="I655" s="132"/>
    </row>
    <row r="656" spans="4:9">
      <c r="D656" s="132"/>
      <c r="E656" s="132"/>
      <c r="F656" s="132"/>
      <c r="G656" s="132"/>
      <c r="H656" s="132"/>
      <c r="I656" s="132"/>
    </row>
    <row r="657" spans="4:9">
      <c r="D657" s="132"/>
      <c r="E657" s="132"/>
      <c r="F657" s="132"/>
      <c r="G657" s="132"/>
      <c r="H657" s="132"/>
      <c r="I657" s="132"/>
    </row>
    <row r="658" spans="4:9">
      <c r="D658" s="132"/>
      <c r="E658" s="132"/>
      <c r="F658" s="132"/>
      <c r="G658" s="132"/>
      <c r="H658" s="132"/>
      <c r="I658" s="132"/>
    </row>
    <row r="659" spans="4:9">
      <c r="D659" s="132"/>
      <c r="E659" s="132"/>
      <c r="F659" s="132"/>
      <c r="G659" s="132"/>
      <c r="H659" s="132"/>
      <c r="I659" s="132"/>
    </row>
    <row r="660" spans="4:9">
      <c r="D660" s="132"/>
      <c r="E660" s="132"/>
      <c r="F660" s="132"/>
      <c r="G660" s="132"/>
      <c r="H660" s="132"/>
      <c r="I660" s="132"/>
    </row>
    <row r="661" spans="4:9">
      <c r="D661" s="132"/>
      <c r="E661" s="132"/>
      <c r="F661" s="132"/>
      <c r="G661" s="132"/>
      <c r="H661" s="132"/>
      <c r="I661" s="132"/>
    </row>
    <row r="662" spans="4:9">
      <c r="D662" s="132"/>
      <c r="E662" s="132"/>
      <c r="F662" s="132"/>
      <c r="G662" s="132"/>
      <c r="H662" s="132"/>
      <c r="I662" s="132"/>
    </row>
    <row r="663" spans="4:9">
      <c r="D663" s="132"/>
      <c r="E663" s="132"/>
      <c r="F663" s="132"/>
      <c r="G663" s="132"/>
      <c r="H663" s="132"/>
      <c r="I663" s="132"/>
    </row>
    <row r="664" spans="4:9">
      <c r="D664" s="132"/>
      <c r="E664" s="132"/>
      <c r="F664" s="132"/>
      <c r="G664" s="132"/>
      <c r="H664" s="132"/>
      <c r="I664" s="132"/>
    </row>
    <row r="665" spans="4:9">
      <c r="D665" s="132"/>
      <c r="E665" s="132"/>
      <c r="F665" s="132"/>
      <c r="G665" s="132"/>
      <c r="H665" s="132"/>
      <c r="I665" s="132"/>
    </row>
    <row r="666" spans="4:9">
      <c r="D666" s="132"/>
      <c r="E666" s="132"/>
      <c r="F666" s="132"/>
      <c r="G666" s="132"/>
      <c r="H666" s="132"/>
      <c r="I666" s="132"/>
    </row>
    <row r="667" spans="4:9">
      <c r="D667" s="132"/>
      <c r="E667" s="132"/>
      <c r="F667" s="132"/>
      <c r="G667" s="132"/>
      <c r="H667" s="132"/>
      <c r="I667" s="132"/>
    </row>
    <row r="668" spans="4:9">
      <c r="D668" s="132"/>
      <c r="E668" s="132"/>
      <c r="F668" s="132"/>
      <c r="G668" s="132"/>
      <c r="H668" s="132"/>
      <c r="I668" s="132"/>
    </row>
    <row r="669" spans="4:9">
      <c r="D669" s="132"/>
      <c r="E669" s="132"/>
      <c r="F669" s="132"/>
      <c r="G669" s="132"/>
      <c r="H669" s="132"/>
      <c r="I669" s="132"/>
    </row>
    <row r="670" spans="4:9">
      <c r="D670" s="132"/>
      <c r="E670" s="132"/>
      <c r="F670" s="132"/>
      <c r="G670" s="132"/>
      <c r="H670" s="132"/>
      <c r="I670" s="132"/>
    </row>
    <row r="671" spans="4:9">
      <c r="D671" s="132"/>
      <c r="E671" s="132"/>
      <c r="F671" s="132"/>
      <c r="G671" s="132"/>
      <c r="H671" s="132"/>
      <c r="I671" s="132"/>
    </row>
    <row r="672" spans="4:9">
      <c r="D672" s="132"/>
      <c r="E672" s="132"/>
      <c r="F672" s="132"/>
      <c r="G672" s="132"/>
      <c r="H672" s="132"/>
      <c r="I672" s="132"/>
    </row>
    <row r="673" spans="4:9">
      <c r="D673" s="132"/>
      <c r="E673" s="132"/>
      <c r="F673" s="132"/>
      <c r="G673" s="132"/>
      <c r="H673" s="132"/>
      <c r="I673" s="132"/>
    </row>
    <row r="674" spans="4:9">
      <c r="D674" s="132"/>
      <c r="E674" s="132"/>
      <c r="F674" s="132"/>
      <c r="G674" s="132"/>
      <c r="H674" s="132"/>
      <c r="I674" s="132"/>
    </row>
    <row r="675" spans="4:9">
      <c r="D675" s="132"/>
      <c r="E675" s="132"/>
      <c r="F675" s="132"/>
      <c r="G675" s="132"/>
      <c r="H675" s="132"/>
      <c r="I675" s="132"/>
    </row>
  </sheetData>
  <mergeCells count="21">
    <mergeCell ref="B599:F599"/>
    <mergeCell ref="B600:F600"/>
    <mergeCell ref="L600:M600"/>
    <mergeCell ref="L9:M9"/>
    <mergeCell ref="B9:J9"/>
    <mergeCell ref="B8:M8"/>
    <mergeCell ref="K1:Q1"/>
    <mergeCell ref="K2:Q2"/>
    <mergeCell ref="K3:Q3"/>
    <mergeCell ref="K4:Q4"/>
    <mergeCell ref="K10:K12"/>
    <mergeCell ref="F10:I12"/>
    <mergeCell ref="F13:I13"/>
    <mergeCell ref="L10:M10"/>
    <mergeCell ref="L11:L12"/>
    <mergeCell ref="M11:M12"/>
    <mergeCell ref="B10:B12"/>
    <mergeCell ref="C10:C12"/>
    <mergeCell ref="D10:D12"/>
    <mergeCell ref="E10:E12"/>
    <mergeCell ref="J10:J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AS31"/>
  <sheetViews>
    <sheetView topLeftCell="AC1" zoomScale="75" zoomScaleNormal="75" workbookViewId="0">
      <selection activeCell="AN17" sqref="AN17"/>
    </sheetView>
  </sheetViews>
  <sheetFormatPr defaultColWidth="9.109375" defaultRowHeight="15.6"/>
  <cols>
    <col min="1" max="1" width="8.5546875" style="3" customWidth="1"/>
    <col min="2" max="2" width="20.33203125" style="89" customWidth="1"/>
    <col min="3" max="3" width="13.44140625" style="3" customWidth="1"/>
    <col min="4" max="4" width="12.109375" style="3" customWidth="1"/>
    <col min="5" max="5" width="15.88671875" style="3" customWidth="1"/>
    <col min="6" max="6" width="13" style="3" customWidth="1"/>
    <col min="7" max="7" width="12" style="3" customWidth="1"/>
    <col min="8" max="8" width="10.88671875" style="3" customWidth="1"/>
    <col min="9" max="9" width="11.44140625" style="3" customWidth="1"/>
    <col min="10" max="10" width="9.109375" style="3" customWidth="1"/>
    <col min="11" max="11" width="8.109375" style="3" customWidth="1"/>
    <col min="12" max="12" width="18.44140625" style="4" customWidth="1"/>
    <col min="13" max="13" width="13.5546875" style="3" customWidth="1"/>
    <col min="14" max="14" width="11.44140625" style="3" customWidth="1"/>
    <col min="15" max="15" width="11.5546875" style="3" customWidth="1"/>
    <col min="16" max="16" width="11.88671875" style="3" hidden="1" customWidth="1"/>
    <col min="17" max="17" width="9.109375" style="3"/>
    <col min="18" max="18" width="10.33203125" style="3" customWidth="1"/>
    <col min="19" max="19" width="17.33203125" style="31" customWidth="1"/>
    <col min="20" max="20" width="17.109375" style="3" customWidth="1"/>
    <col min="21" max="21" width="13.33203125" style="3" customWidth="1"/>
    <col min="22" max="22" width="10.88671875" style="3" customWidth="1"/>
    <col min="23" max="23" width="10.33203125" style="3" customWidth="1"/>
    <col min="24" max="24" width="9.6640625" style="3" customWidth="1"/>
    <col min="25" max="25" width="9.5546875" style="3" customWidth="1"/>
    <col min="26" max="26" width="10.44140625" style="3" customWidth="1"/>
    <col min="27" max="27" width="15.6640625" style="3" customWidth="1"/>
    <col min="28" max="28" width="12.33203125" style="3" customWidth="1"/>
    <col min="29" max="29" width="9.109375" style="3"/>
    <col min="30" max="30" width="11.5546875" style="3" customWidth="1"/>
    <col min="31" max="31" width="8" style="3" customWidth="1"/>
    <col min="32" max="32" width="7.5546875" style="3" customWidth="1"/>
    <col min="33" max="33" width="17.44140625" style="31" customWidth="1"/>
    <col min="34" max="34" width="14.44140625" style="3" customWidth="1"/>
    <col min="35" max="35" width="13" style="3" customWidth="1"/>
    <col min="36" max="36" width="11.44140625" style="3" customWidth="1"/>
    <col min="37" max="37" width="10.5546875" style="3" customWidth="1"/>
    <col min="38" max="38" width="7.5546875" style="3" customWidth="1"/>
    <col min="39" max="39" width="11" style="3" customWidth="1"/>
    <col min="40" max="40" width="18.109375" style="2" customWidth="1"/>
    <col min="41" max="41" width="12.109375" style="2" customWidth="1"/>
    <col min="42" max="42" width="9.88671875" style="3" customWidth="1"/>
    <col min="43" max="43" width="11" style="3" customWidth="1"/>
    <col min="44" max="44" width="11.6640625" style="3" hidden="1" customWidth="1"/>
    <col min="45" max="45" width="7.5546875" style="3" customWidth="1"/>
    <col min="46" max="16384" width="9.109375" style="3"/>
  </cols>
  <sheetData>
    <row r="1" spans="2:45" ht="31.5" customHeight="1">
      <c r="B1" s="309" t="s">
        <v>457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1"/>
      <c r="AI1" s="1"/>
      <c r="AJ1" s="1"/>
      <c r="AK1" s="1"/>
      <c r="AL1" s="1"/>
      <c r="AM1" s="1"/>
    </row>
    <row r="2" spans="2:45"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1"/>
      <c r="S2" s="43"/>
    </row>
    <row r="3" spans="2:45" ht="16.2" thickBot="1">
      <c r="AG3" s="90" t="s">
        <v>0</v>
      </c>
      <c r="AH3" s="5"/>
      <c r="AI3" s="5"/>
      <c r="AJ3" s="5"/>
      <c r="AK3" s="5"/>
      <c r="AL3" s="5"/>
      <c r="AM3" s="5"/>
    </row>
    <row r="4" spans="2:45" ht="20.100000000000001" customHeight="1" thickBot="1">
      <c r="B4" s="310" t="s">
        <v>28</v>
      </c>
      <c r="C4" s="313" t="s">
        <v>198</v>
      </c>
      <c r="D4" s="314"/>
      <c r="E4" s="317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91"/>
      <c r="S4" s="319" t="s">
        <v>3</v>
      </c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20"/>
    </row>
    <row r="5" spans="2:45" s="40" customFormat="1" ht="36" customHeight="1" thickBot="1">
      <c r="B5" s="311"/>
      <c r="C5" s="315"/>
      <c r="D5" s="316"/>
      <c r="E5" s="321" t="s">
        <v>198</v>
      </c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92"/>
      <c r="S5" s="323" t="s">
        <v>297</v>
      </c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4"/>
      <c r="AG5" s="325" t="s">
        <v>453</v>
      </c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7"/>
    </row>
    <row r="6" spans="2:45" ht="20.100000000000001" customHeight="1" thickBot="1">
      <c r="B6" s="311"/>
      <c r="C6" s="28"/>
      <c r="D6" s="29"/>
      <c r="E6" s="328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93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1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3"/>
    </row>
    <row r="7" spans="2:45" ht="42.75" customHeight="1">
      <c r="B7" s="311"/>
      <c r="C7" s="334">
        <v>2</v>
      </c>
      <c r="D7" s="334" t="s">
        <v>36</v>
      </c>
      <c r="E7" s="304" t="s">
        <v>37</v>
      </c>
      <c r="F7" s="336" t="s">
        <v>38</v>
      </c>
      <c r="G7" s="338" t="s">
        <v>8</v>
      </c>
      <c r="H7" s="284" t="s">
        <v>39</v>
      </c>
      <c r="I7" s="284"/>
      <c r="J7" s="284"/>
      <c r="K7" s="285"/>
      <c r="L7" s="286" t="s">
        <v>40</v>
      </c>
      <c r="M7" s="288" t="s">
        <v>41</v>
      </c>
      <c r="N7" s="290" t="s">
        <v>42</v>
      </c>
      <c r="O7" s="284"/>
      <c r="P7" s="284"/>
      <c r="Q7" s="284"/>
      <c r="R7" s="94"/>
      <c r="S7" s="95"/>
      <c r="T7" s="291" t="s">
        <v>43</v>
      </c>
      <c r="U7" s="293" t="s">
        <v>44</v>
      </c>
      <c r="V7" s="294"/>
      <c r="W7" s="295" t="s">
        <v>19</v>
      </c>
      <c r="X7" s="296"/>
      <c r="Y7" s="296"/>
      <c r="Z7" s="297"/>
      <c r="AA7" s="298" t="s">
        <v>40</v>
      </c>
      <c r="AB7" s="299" t="s">
        <v>41</v>
      </c>
      <c r="AC7" s="301" t="s">
        <v>42</v>
      </c>
      <c r="AD7" s="302"/>
      <c r="AE7" s="302"/>
      <c r="AF7" s="303"/>
      <c r="AG7" s="304" t="s">
        <v>43</v>
      </c>
      <c r="AH7" s="305" t="s">
        <v>7</v>
      </c>
      <c r="AI7" s="305"/>
      <c r="AJ7" s="306" t="s">
        <v>55</v>
      </c>
      <c r="AK7" s="307"/>
      <c r="AL7" s="307"/>
      <c r="AM7" s="308"/>
      <c r="AN7" s="286" t="s">
        <v>40</v>
      </c>
      <c r="AO7" s="288" t="s">
        <v>41</v>
      </c>
      <c r="AP7" s="290" t="s">
        <v>42</v>
      </c>
      <c r="AQ7" s="284"/>
      <c r="AR7" s="284"/>
      <c r="AS7" s="285"/>
    </row>
    <row r="8" spans="2:45" ht="173.25" customHeight="1">
      <c r="B8" s="312"/>
      <c r="C8" s="335"/>
      <c r="D8" s="335"/>
      <c r="E8" s="292"/>
      <c r="F8" s="337"/>
      <c r="G8" s="339"/>
      <c r="H8" s="42" t="s">
        <v>45</v>
      </c>
      <c r="I8" s="45" t="s">
        <v>458</v>
      </c>
      <c r="J8" s="45" t="s">
        <v>54</v>
      </c>
      <c r="K8" s="45" t="s">
        <v>46</v>
      </c>
      <c r="L8" s="287"/>
      <c r="M8" s="289"/>
      <c r="N8" s="45" t="s">
        <v>47</v>
      </c>
      <c r="O8" s="45" t="s">
        <v>48</v>
      </c>
      <c r="P8" s="45" t="s">
        <v>49</v>
      </c>
      <c r="Q8" s="41" t="s">
        <v>50</v>
      </c>
      <c r="R8" s="94"/>
      <c r="S8" s="96"/>
      <c r="T8" s="292"/>
      <c r="U8" s="6" t="s">
        <v>38</v>
      </c>
      <c r="V8" s="7" t="s">
        <v>8</v>
      </c>
      <c r="W8" s="143" t="s">
        <v>51</v>
      </c>
      <c r="X8" s="45" t="s">
        <v>458</v>
      </c>
      <c r="Y8" s="97" t="s">
        <v>46</v>
      </c>
      <c r="Z8" s="143" t="s">
        <v>54</v>
      </c>
      <c r="AA8" s="287"/>
      <c r="AB8" s="300"/>
      <c r="AC8" s="97" t="s">
        <v>52</v>
      </c>
      <c r="AD8" s="97" t="s">
        <v>48</v>
      </c>
      <c r="AE8" s="97" t="s">
        <v>49</v>
      </c>
      <c r="AF8" s="97" t="s">
        <v>50</v>
      </c>
      <c r="AG8" s="292"/>
      <c r="AH8" s="8" t="s">
        <v>38</v>
      </c>
      <c r="AI8" s="9" t="s">
        <v>8</v>
      </c>
      <c r="AJ8" s="10" t="s">
        <v>51</v>
      </c>
      <c r="AK8" s="45" t="s">
        <v>458</v>
      </c>
      <c r="AL8" s="45" t="s">
        <v>46</v>
      </c>
      <c r="AM8" s="44" t="s">
        <v>54</v>
      </c>
      <c r="AN8" s="287"/>
      <c r="AO8" s="289"/>
      <c r="AP8" s="45" t="s">
        <v>52</v>
      </c>
      <c r="AQ8" s="45" t="s">
        <v>48</v>
      </c>
      <c r="AR8" s="45" t="s">
        <v>49</v>
      </c>
      <c r="AS8" s="45" t="s">
        <v>50</v>
      </c>
    </row>
    <row r="9" spans="2:45" ht="9" customHeight="1">
      <c r="B9" s="97"/>
      <c r="C9" s="11"/>
      <c r="D9" s="11"/>
      <c r="E9" s="12"/>
      <c r="F9" s="13"/>
      <c r="G9" s="14"/>
      <c r="H9" s="45"/>
      <c r="I9" s="45"/>
      <c r="J9" s="45"/>
      <c r="K9" s="45"/>
      <c r="L9" s="15"/>
      <c r="M9" s="16"/>
      <c r="N9" s="45"/>
      <c r="O9" s="45"/>
      <c r="P9" s="45"/>
      <c r="Q9" s="41"/>
      <c r="R9" s="94"/>
      <c r="S9" s="98"/>
      <c r="T9" s="99"/>
      <c r="U9" s="17"/>
      <c r="V9" s="18"/>
      <c r="W9" s="10"/>
      <c r="X9" s="10"/>
      <c r="Y9" s="10"/>
      <c r="Z9" s="10"/>
      <c r="AA9" s="19"/>
      <c r="AB9" s="20"/>
      <c r="AC9" s="10"/>
      <c r="AD9" s="10"/>
      <c r="AE9" s="10"/>
      <c r="AF9" s="10"/>
      <c r="AG9" s="99"/>
      <c r="AH9" s="21"/>
      <c r="AI9" s="22"/>
      <c r="AJ9" s="23"/>
      <c r="AK9" s="23"/>
      <c r="AL9" s="23"/>
      <c r="AM9" s="23"/>
      <c r="AN9" s="19"/>
      <c r="AO9" s="20"/>
      <c r="AP9" s="10"/>
      <c r="AQ9" s="10"/>
      <c r="AR9" s="10"/>
      <c r="AS9" s="10"/>
    </row>
    <row r="10" spans="2:45" s="244" customFormat="1" ht="71.25" customHeight="1">
      <c r="B10" s="100" t="s">
        <v>197</v>
      </c>
      <c r="C10" s="32">
        <f>L10</f>
        <v>77634.000000000015</v>
      </c>
      <c r="D10" s="32">
        <v>0</v>
      </c>
      <c r="E10" s="101">
        <f>F10+G10</f>
        <v>77634</v>
      </c>
      <c r="F10" s="102">
        <f>69155+4809.1</f>
        <v>73964.100000000006</v>
      </c>
      <c r="G10" s="103">
        <f t="shared" ref="G10:G16" si="0">H10+I10+J10+K10</f>
        <v>3669.8999999999996</v>
      </c>
      <c r="H10" s="104">
        <v>1851.8</v>
      </c>
      <c r="I10" s="104">
        <v>1818.1</v>
      </c>
      <c r="J10" s="104">
        <f>0</f>
        <v>0</v>
      </c>
      <c r="K10" s="104"/>
      <c r="L10" s="105">
        <f>69155+4809.1+1851.8+1818.1</f>
        <v>77634.000000000015</v>
      </c>
      <c r="M10" s="34">
        <f>N10+O10+P10+Q10</f>
        <v>0</v>
      </c>
      <c r="N10" s="33">
        <v>0</v>
      </c>
      <c r="O10" s="33">
        <v>0</v>
      </c>
      <c r="P10" s="33">
        <v>0</v>
      </c>
      <c r="Q10" s="106">
        <v>0</v>
      </c>
      <c r="R10" s="107"/>
      <c r="S10" s="108" t="s">
        <v>53</v>
      </c>
      <c r="T10" s="109">
        <f>U10+V10</f>
        <v>78546.7</v>
      </c>
      <c r="U10" s="110">
        <f>71644.9+4982.2</f>
        <v>76627.099999999991</v>
      </c>
      <c r="V10" s="111">
        <f t="shared" ref="V10" si="1">W10+X10+Y10+Z10</f>
        <v>1919.6</v>
      </c>
      <c r="W10" s="112">
        <v>1919.6</v>
      </c>
      <c r="X10" s="112">
        <v>0</v>
      </c>
      <c r="Y10" s="112">
        <v>0</v>
      </c>
      <c r="Z10" s="112">
        <v>0</v>
      </c>
      <c r="AA10" s="105">
        <f>71644.9+4982.2+1919.6</f>
        <v>78546.7</v>
      </c>
      <c r="AB10" s="34">
        <f>AC10+AD10+AE10+AF10</f>
        <v>0</v>
      </c>
      <c r="AC10" s="33">
        <v>0</v>
      </c>
      <c r="AD10" s="33">
        <v>0</v>
      </c>
      <c r="AE10" s="33">
        <v>0</v>
      </c>
      <c r="AF10" s="33">
        <v>0</v>
      </c>
      <c r="AG10" s="109">
        <f>AH10+AI10</f>
        <v>81365.900000000009</v>
      </c>
      <c r="AH10" s="110">
        <f>74224.1+5161.6</f>
        <v>79385.700000000012</v>
      </c>
      <c r="AI10" s="111">
        <f t="shared" ref="AI10:AI11" si="2">AJ10+AK10+AL10+AM10</f>
        <v>1980.1999999999998</v>
      </c>
      <c r="AJ10" s="251">
        <f>1919.6+60.6</f>
        <v>1980.1999999999998</v>
      </c>
      <c r="AK10" s="112">
        <v>0</v>
      </c>
      <c r="AL10" s="112">
        <v>0</v>
      </c>
      <c r="AM10" s="112">
        <f>0</f>
        <v>0</v>
      </c>
      <c r="AN10" s="105">
        <f>74224.1+5161.6+1919.6+60.6</f>
        <v>81365.900000000023</v>
      </c>
      <c r="AO10" s="34">
        <f>AP10+AQ10+AR10+AS10</f>
        <v>0</v>
      </c>
      <c r="AP10" s="113">
        <v>0</v>
      </c>
      <c r="AQ10" s="33">
        <v>0</v>
      </c>
      <c r="AR10" s="243">
        <v>0</v>
      </c>
      <c r="AS10" s="243">
        <v>0</v>
      </c>
    </row>
    <row r="11" spans="2:45" s="24" customFormat="1" ht="101.25" customHeight="1">
      <c r="B11" s="100" t="s">
        <v>29</v>
      </c>
      <c r="C11" s="32">
        <f>L11</f>
        <v>5127.0000000000009</v>
      </c>
      <c r="D11" s="32">
        <f>M11</f>
        <v>35</v>
      </c>
      <c r="E11" s="101">
        <f t="shared" ref="E11:E16" si="3">F11+G11</f>
        <v>5127</v>
      </c>
      <c r="F11" s="102">
        <v>4579</v>
      </c>
      <c r="G11" s="103">
        <f t="shared" si="0"/>
        <v>548</v>
      </c>
      <c r="H11" s="104">
        <v>123.6</v>
      </c>
      <c r="I11" s="104">
        <v>217.8</v>
      </c>
      <c r="J11" s="104">
        <v>206.6</v>
      </c>
      <c r="K11" s="104">
        <v>0</v>
      </c>
      <c r="L11" s="105">
        <f>4579+123.6+206.6+217.8</f>
        <v>5127.0000000000009</v>
      </c>
      <c r="M11" s="34">
        <f t="shared" ref="M11:M16" si="4">N11+O11+P11+Q11</f>
        <v>35</v>
      </c>
      <c r="N11" s="33">
        <v>35</v>
      </c>
      <c r="O11" s="33">
        <v>0</v>
      </c>
      <c r="P11" s="33">
        <v>0</v>
      </c>
      <c r="Q11" s="106">
        <v>0</v>
      </c>
      <c r="R11" s="107"/>
      <c r="S11" s="108" t="s">
        <v>29</v>
      </c>
      <c r="T11" s="109">
        <f t="shared" ref="T11:T16" si="5">U11+V11</f>
        <v>5078.9000000000005</v>
      </c>
      <c r="U11" s="110">
        <f>4744.1</f>
        <v>4744.1000000000004</v>
      </c>
      <c r="V11" s="111">
        <f>W11+X11+Y11+Z11</f>
        <v>334.79999999999995</v>
      </c>
      <c r="W11" s="112">
        <v>128.19999999999999</v>
      </c>
      <c r="X11" s="112">
        <f>0</f>
        <v>0</v>
      </c>
      <c r="Y11" s="112">
        <v>0</v>
      </c>
      <c r="Z11" s="114">
        <v>206.6</v>
      </c>
      <c r="AA11" s="115">
        <f>4744.1+128.2+206.6</f>
        <v>5078.9000000000005</v>
      </c>
      <c r="AB11" s="34">
        <f t="shared" ref="AB11:AB16" si="6">AC11+AD11+AE11+AF11</f>
        <v>35</v>
      </c>
      <c r="AC11" s="33">
        <v>35</v>
      </c>
      <c r="AD11" s="33">
        <v>0</v>
      </c>
      <c r="AE11" s="33">
        <v>0</v>
      </c>
      <c r="AF11" s="33">
        <v>0</v>
      </c>
      <c r="AG11" s="109">
        <f>AH11+AI11</f>
        <v>5253.7</v>
      </c>
      <c r="AH11" s="110">
        <f>4914.9</f>
        <v>4914.8999999999996</v>
      </c>
      <c r="AI11" s="111">
        <f t="shared" si="2"/>
        <v>338.79999999999995</v>
      </c>
      <c r="AJ11" s="251">
        <f>128.2+4</f>
        <v>132.19999999999999</v>
      </c>
      <c r="AK11" s="112">
        <v>0</v>
      </c>
      <c r="AL11" s="116">
        <v>0</v>
      </c>
      <c r="AM11" s="33">
        <v>206.6</v>
      </c>
      <c r="AN11" s="105">
        <f>4914.9+128.2+206.6+4</f>
        <v>5253.7</v>
      </c>
      <c r="AO11" s="34">
        <f t="shared" ref="AO11:AO16" si="7">AP11+AQ11+AR11+AS11</f>
        <v>35</v>
      </c>
      <c r="AP11" s="113">
        <v>35</v>
      </c>
      <c r="AQ11" s="33">
        <v>0</v>
      </c>
      <c r="AR11" s="33">
        <v>0</v>
      </c>
      <c r="AS11" s="33">
        <v>0</v>
      </c>
    </row>
    <row r="12" spans="2:45" s="24" customFormat="1" ht="73.5" customHeight="1">
      <c r="B12" s="100" t="s">
        <v>30</v>
      </c>
      <c r="C12" s="32">
        <f t="shared" ref="C12:D16" si="8">L12</f>
        <v>4120.7</v>
      </c>
      <c r="D12" s="32">
        <f t="shared" si="8"/>
        <v>35</v>
      </c>
      <c r="E12" s="101">
        <f t="shared" si="3"/>
        <v>4120.7</v>
      </c>
      <c r="F12" s="102">
        <v>3770</v>
      </c>
      <c r="G12" s="103">
        <f t="shared" si="0"/>
        <v>350.70000000000005</v>
      </c>
      <c r="H12" s="104">
        <v>110.7</v>
      </c>
      <c r="I12" s="104">
        <v>157.4</v>
      </c>
      <c r="J12" s="104">
        <v>82.6</v>
      </c>
      <c r="K12" s="104">
        <f>0</f>
        <v>0</v>
      </c>
      <c r="L12" s="105">
        <f>3770+110.7+82.6+157.4</f>
        <v>4120.7</v>
      </c>
      <c r="M12" s="34">
        <f t="shared" si="4"/>
        <v>35</v>
      </c>
      <c r="N12" s="33">
        <f>35</f>
        <v>35</v>
      </c>
      <c r="O12" s="33">
        <v>0</v>
      </c>
      <c r="P12" s="33">
        <v>0</v>
      </c>
      <c r="Q12" s="106">
        <f>0</f>
        <v>0</v>
      </c>
      <c r="R12" s="107"/>
      <c r="S12" s="108" t="s">
        <v>30</v>
      </c>
      <c r="T12" s="109">
        <f t="shared" si="5"/>
        <v>4103.3999999999996</v>
      </c>
      <c r="U12" s="110">
        <f>3906</f>
        <v>3906</v>
      </c>
      <c r="V12" s="111">
        <f>W12+X12+Y12+Z12</f>
        <v>197.39999999999998</v>
      </c>
      <c r="W12" s="112">
        <v>114.8</v>
      </c>
      <c r="X12" s="112">
        <v>0</v>
      </c>
      <c r="Y12" s="112">
        <v>0</v>
      </c>
      <c r="Z12" s="112">
        <v>82.6</v>
      </c>
      <c r="AA12" s="105">
        <f>3906+114.8+82.6</f>
        <v>4103.4000000000005</v>
      </c>
      <c r="AB12" s="34">
        <f t="shared" si="6"/>
        <v>35</v>
      </c>
      <c r="AC12" s="33">
        <v>35</v>
      </c>
      <c r="AD12" s="33">
        <v>0</v>
      </c>
      <c r="AE12" s="33">
        <v>0</v>
      </c>
      <c r="AF12" s="33">
        <f>0</f>
        <v>0</v>
      </c>
      <c r="AG12" s="109">
        <f t="shared" ref="AG12:AG16" si="9">AH12+AI12</f>
        <v>4247.6000000000004</v>
      </c>
      <c r="AH12" s="110">
        <v>4046.6</v>
      </c>
      <c r="AI12" s="111">
        <f>AJ12+AK12+AL12+AM12</f>
        <v>201</v>
      </c>
      <c r="AJ12" s="251">
        <f>114.8+3.6</f>
        <v>118.39999999999999</v>
      </c>
      <c r="AK12" s="112">
        <v>0</v>
      </c>
      <c r="AL12" s="112">
        <f>0</f>
        <v>0</v>
      </c>
      <c r="AM12" s="112">
        <v>82.6</v>
      </c>
      <c r="AN12" s="105">
        <f>4046.6+114.8+82.6+3.6</f>
        <v>4247.6000000000004</v>
      </c>
      <c r="AO12" s="34">
        <f t="shared" si="7"/>
        <v>35</v>
      </c>
      <c r="AP12" s="113">
        <v>35</v>
      </c>
      <c r="AQ12" s="33">
        <v>0</v>
      </c>
      <c r="AR12" s="33">
        <v>0</v>
      </c>
      <c r="AS12" s="33">
        <f>0</f>
        <v>0</v>
      </c>
    </row>
    <row r="13" spans="2:45" s="24" customFormat="1" ht="87.75" customHeight="1">
      <c r="B13" s="100" t="s">
        <v>31</v>
      </c>
      <c r="C13" s="32">
        <f t="shared" si="8"/>
        <v>3702.2999999999997</v>
      </c>
      <c r="D13" s="32">
        <f t="shared" si="8"/>
        <v>25</v>
      </c>
      <c r="E13" s="101">
        <f t="shared" si="3"/>
        <v>3702.3</v>
      </c>
      <c r="F13" s="102">
        <v>3406</v>
      </c>
      <c r="G13" s="103">
        <f t="shared" si="0"/>
        <v>296.29999999999995</v>
      </c>
      <c r="H13" s="104">
        <v>103</v>
      </c>
      <c r="I13" s="104">
        <v>110.7</v>
      </c>
      <c r="J13" s="104">
        <v>82.6</v>
      </c>
      <c r="K13" s="104">
        <v>0</v>
      </c>
      <c r="L13" s="105">
        <f>3406+103+82.6+110.7</f>
        <v>3702.2999999999997</v>
      </c>
      <c r="M13" s="34">
        <f t="shared" si="4"/>
        <v>25</v>
      </c>
      <c r="N13" s="33">
        <f>25</f>
        <v>25</v>
      </c>
      <c r="O13" s="33">
        <v>0</v>
      </c>
      <c r="P13" s="33">
        <v>0</v>
      </c>
      <c r="Q13" s="106">
        <v>0</v>
      </c>
      <c r="R13" s="107"/>
      <c r="S13" s="108" t="s">
        <v>31</v>
      </c>
      <c r="T13" s="109">
        <f t="shared" si="5"/>
        <v>3718.4</v>
      </c>
      <c r="U13" s="110">
        <f>3529</f>
        <v>3529</v>
      </c>
      <c r="V13" s="111">
        <f t="shared" ref="V13:V16" si="10">W13+X13+Y13+Z13</f>
        <v>189.39999999999998</v>
      </c>
      <c r="W13" s="112">
        <v>106.8</v>
      </c>
      <c r="X13" s="112">
        <v>0</v>
      </c>
      <c r="Y13" s="112">
        <v>0</v>
      </c>
      <c r="Z13" s="112">
        <v>82.6</v>
      </c>
      <c r="AA13" s="105">
        <f>3529+106.8+82.6</f>
        <v>3718.4</v>
      </c>
      <c r="AB13" s="34">
        <f t="shared" si="6"/>
        <v>25</v>
      </c>
      <c r="AC13" s="33">
        <f>25</f>
        <v>25</v>
      </c>
      <c r="AD13" s="33">
        <v>0</v>
      </c>
      <c r="AE13" s="33">
        <v>0</v>
      </c>
      <c r="AF13" s="33">
        <v>0</v>
      </c>
      <c r="AG13" s="109">
        <f t="shared" si="9"/>
        <v>3848.8</v>
      </c>
      <c r="AH13" s="110">
        <f>3656</f>
        <v>3656</v>
      </c>
      <c r="AI13" s="111">
        <f t="shared" ref="AI13:AI16" si="11">AJ13+AK13+AL13+AM13</f>
        <v>192.8</v>
      </c>
      <c r="AJ13" s="251">
        <f>106.8+3.4</f>
        <v>110.2</v>
      </c>
      <c r="AK13" s="112">
        <f>0</f>
        <v>0</v>
      </c>
      <c r="AL13" s="112">
        <v>0</v>
      </c>
      <c r="AM13" s="112">
        <v>82.6</v>
      </c>
      <c r="AN13" s="105">
        <f>3656+106.8+82.6+3.4</f>
        <v>3848.8</v>
      </c>
      <c r="AO13" s="34">
        <f t="shared" si="7"/>
        <v>25</v>
      </c>
      <c r="AP13" s="113">
        <f>25</f>
        <v>25</v>
      </c>
      <c r="AQ13" s="33">
        <v>0</v>
      </c>
      <c r="AR13" s="33">
        <v>0</v>
      </c>
      <c r="AS13" s="33">
        <v>0</v>
      </c>
    </row>
    <row r="14" spans="2:45" s="24" customFormat="1" ht="78" customHeight="1">
      <c r="B14" s="100" t="s">
        <v>32</v>
      </c>
      <c r="C14" s="32">
        <f t="shared" si="8"/>
        <v>5431.5</v>
      </c>
      <c r="D14" s="32">
        <f t="shared" si="8"/>
        <v>38</v>
      </c>
      <c r="E14" s="101">
        <f t="shared" si="3"/>
        <v>5431.5</v>
      </c>
      <c r="F14" s="102">
        <v>4826</v>
      </c>
      <c r="G14" s="103">
        <f t="shared" si="0"/>
        <v>605.5</v>
      </c>
      <c r="H14" s="104">
        <v>133.9</v>
      </c>
      <c r="I14" s="104">
        <v>265</v>
      </c>
      <c r="J14" s="104">
        <v>206.6</v>
      </c>
      <c r="K14" s="104">
        <v>0</v>
      </c>
      <c r="L14" s="105">
        <f>4826+133.9+206.6+265</f>
        <v>5431.5</v>
      </c>
      <c r="M14" s="34">
        <f t="shared" si="4"/>
        <v>38</v>
      </c>
      <c r="N14" s="33">
        <f>38</f>
        <v>38</v>
      </c>
      <c r="O14" s="33">
        <v>0</v>
      </c>
      <c r="P14" s="33">
        <v>0</v>
      </c>
      <c r="Q14" s="106">
        <v>0</v>
      </c>
      <c r="R14" s="107"/>
      <c r="S14" s="108" t="s">
        <v>32</v>
      </c>
      <c r="T14" s="109">
        <f t="shared" si="5"/>
        <v>5345.5999999999995</v>
      </c>
      <c r="U14" s="110">
        <f>5000.2</f>
        <v>5000.2</v>
      </c>
      <c r="V14" s="111">
        <f t="shared" si="10"/>
        <v>345.4</v>
      </c>
      <c r="W14" s="112">
        <v>138.80000000000001</v>
      </c>
      <c r="X14" s="112">
        <v>0</v>
      </c>
      <c r="Y14" s="112">
        <v>0</v>
      </c>
      <c r="Z14" s="112">
        <v>206.6</v>
      </c>
      <c r="AA14" s="105">
        <f>5000.2+138.8+206.6</f>
        <v>5345.6</v>
      </c>
      <c r="AB14" s="34">
        <f t="shared" si="6"/>
        <v>38</v>
      </c>
      <c r="AC14" s="33">
        <f>38</f>
        <v>38</v>
      </c>
      <c r="AD14" s="33">
        <v>0</v>
      </c>
      <c r="AE14" s="33">
        <v>0</v>
      </c>
      <c r="AF14" s="33">
        <v>0</v>
      </c>
      <c r="AG14" s="109">
        <f t="shared" si="9"/>
        <v>5530</v>
      </c>
      <c r="AH14" s="110">
        <f>5180.2</f>
        <v>5180.2</v>
      </c>
      <c r="AI14" s="111">
        <f t="shared" si="11"/>
        <v>349.8</v>
      </c>
      <c r="AJ14" s="251">
        <f>138.8+4.4</f>
        <v>143.20000000000002</v>
      </c>
      <c r="AK14" s="112">
        <f>0</f>
        <v>0</v>
      </c>
      <c r="AL14" s="112">
        <f>0</f>
        <v>0</v>
      </c>
      <c r="AM14" s="112">
        <v>206.6</v>
      </c>
      <c r="AN14" s="105">
        <f>5180.2+138.8+206.6+4.4</f>
        <v>5530</v>
      </c>
      <c r="AO14" s="34">
        <f t="shared" si="7"/>
        <v>38</v>
      </c>
      <c r="AP14" s="113">
        <f>38</f>
        <v>38</v>
      </c>
      <c r="AQ14" s="33">
        <v>0</v>
      </c>
      <c r="AR14" s="33">
        <v>0</v>
      </c>
      <c r="AS14" s="33">
        <v>0</v>
      </c>
    </row>
    <row r="15" spans="2:45" s="24" customFormat="1" ht="87.75" customHeight="1">
      <c r="B15" s="100" t="s">
        <v>33</v>
      </c>
      <c r="C15" s="32">
        <f t="shared" si="8"/>
        <v>3674.8</v>
      </c>
      <c r="D15" s="32">
        <f t="shared" si="8"/>
        <v>28</v>
      </c>
      <c r="E15" s="101">
        <f t="shared" si="3"/>
        <v>3674.8</v>
      </c>
      <c r="F15" s="102">
        <v>3111</v>
      </c>
      <c r="G15" s="103">
        <f t="shared" si="0"/>
        <v>563.80000000000007</v>
      </c>
      <c r="H15" s="104">
        <v>131.4</v>
      </c>
      <c r="I15" s="104">
        <v>225.8</v>
      </c>
      <c r="J15" s="104">
        <v>206.6</v>
      </c>
      <c r="K15" s="104">
        <f>0</f>
        <v>0</v>
      </c>
      <c r="L15" s="105">
        <f>3111+131.4+206.6+225.8</f>
        <v>3674.8</v>
      </c>
      <c r="M15" s="34">
        <f t="shared" si="4"/>
        <v>28</v>
      </c>
      <c r="N15" s="33">
        <f>28</f>
        <v>28</v>
      </c>
      <c r="O15" s="33">
        <v>0</v>
      </c>
      <c r="P15" s="33">
        <v>0</v>
      </c>
      <c r="Q15" s="106">
        <v>0</v>
      </c>
      <c r="R15" s="107"/>
      <c r="S15" s="108" t="s">
        <v>33</v>
      </c>
      <c r="T15" s="109">
        <f t="shared" si="5"/>
        <v>3566.3</v>
      </c>
      <c r="U15" s="110">
        <f>3223.5</f>
        <v>3223.5</v>
      </c>
      <c r="V15" s="111">
        <f t="shared" si="10"/>
        <v>342.79999999999995</v>
      </c>
      <c r="W15" s="112">
        <v>136.19999999999999</v>
      </c>
      <c r="X15" s="112">
        <v>0</v>
      </c>
      <c r="Y15" s="112">
        <v>0</v>
      </c>
      <c r="Z15" s="112">
        <v>206.6</v>
      </c>
      <c r="AA15" s="105">
        <f>3223.5+136.2+206.6</f>
        <v>3566.2999999999997</v>
      </c>
      <c r="AB15" s="34">
        <f t="shared" si="6"/>
        <v>28</v>
      </c>
      <c r="AC15" s="33">
        <f>28</f>
        <v>28</v>
      </c>
      <c r="AD15" s="33">
        <v>0</v>
      </c>
      <c r="AE15" s="33">
        <v>0</v>
      </c>
      <c r="AF15" s="33">
        <v>0</v>
      </c>
      <c r="AG15" s="109">
        <f t="shared" si="9"/>
        <v>3686.5</v>
      </c>
      <c r="AH15" s="110">
        <f>3339.5</f>
        <v>3339.5</v>
      </c>
      <c r="AI15" s="111">
        <f t="shared" si="11"/>
        <v>347</v>
      </c>
      <c r="AJ15" s="251">
        <f>136.2+4.2</f>
        <v>140.39999999999998</v>
      </c>
      <c r="AK15" s="112">
        <f>0</f>
        <v>0</v>
      </c>
      <c r="AL15" s="112">
        <f>0</f>
        <v>0</v>
      </c>
      <c r="AM15" s="112">
        <f>206.6</f>
        <v>206.6</v>
      </c>
      <c r="AN15" s="105">
        <f>3339.5+136.2+206.6+4.2</f>
        <v>3686.4999999999995</v>
      </c>
      <c r="AO15" s="34">
        <f t="shared" si="7"/>
        <v>28</v>
      </c>
      <c r="AP15" s="113">
        <f>28</f>
        <v>28</v>
      </c>
      <c r="AQ15" s="33">
        <v>0</v>
      </c>
      <c r="AR15" s="33">
        <v>0</v>
      </c>
      <c r="AS15" s="33">
        <v>0</v>
      </c>
    </row>
    <row r="16" spans="2:45" s="24" customFormat="1" ht="93.75" customHeight="1">
      <c r="B16" s="100" t="s">
        <v>34</v>
      </c>
      <c r="C16" s="32">
        <f t="shared" si="8"/>
        <v>4491.0000000000009</v>
      </c>
      <c r="D16" s="32">
        <f t="shared" si="8"/>
        <v>30</v>
      </c>
      <c r="E16" s="101">
        <f t="shared" si="3"/>
        <v>4491</v>
      </c>
      <c r="F16" s="102">
        <v>4010</v>
      </c>
      <c r="G16" s="103">
        <f t="shared" si="0"/>
        <v>481</v>
      </c>
      <c r="H16" s="104">
        <v>121.1</v>
      </c>
      <c r="I16" s="104">
        <v>153.30000000000001</v>
      </c>
      <c r="J16" s="104">
        <v>206.6</v>
      </c>
      <c r="K16" s="104">
        <v>0</v>
      </c>
      <c r="L16" s="105">
        <f>4010+121.1+206.6+153.3</f>
        <v>4491.0000000000009</v>
      </c>
      <c r="M16" s="34">
        <f t="shared" si="4"/>
        <v>30</v>
      </c>
      <c r="N16" s="33">
        <f>30</f>
        <v>30</v>
      </c>
      <c r="O16" s="33">
        <v>0</v>
      </c>
      <c r="P16" s="33">
        <v>0</v>
      </c>
      <c r="Q16" s="106">
        <f>0</f>
        <v>0</v>
      </c>
      <c r="R16" s="107"/>
      <c r="S16" s="108" t="s">
        <v>34</v>
      </c>
      <c r="T16" s="109">
        <f t="shared" si="5"/>
        <v>4486.7000000000007</v>
      </c>
      <c r="U16" s="110">
        <v>4154.6000000000004</v>
      </c>
      <c r="V16" s="111">
        <f t="shared" si="10"/>
        <v>332.1</v>
      </c>
      <c r="W16" s="112">
        <v>125.5</v>
      </c>
      <c r="X16" s="112">
        <v>0</v>
      </c>
      <c r="Y16" s="112">
        <v>0</v>
      </c>
      <c r="Z16" s="112">
        <v>206.6</v>
      </c>
      <c r="AA16" s="105">
        <f>4154.6+125.5+206.6</f>
        <v>4486.7000000000007</v>
      </c>
      <c r="AB16" s="34">
        <f t="shared" si="6"/>
        <v>30</v>
      </c>
      <c r="AC16" s="33">
        <f>30</f>
        <v>30</v>
      </c>
      <c r="AD16" s="33">
        <v>0</v>
      </c>
      <c r="AE16" s="33">
        <v>0</v>
      </c>
      <c r="AF16" s="33">
        <f>0</f>
        <v>0</v>
      </c>
      <c r="AG16" s="109">
        <f t="shared" si="9"/>
        <v>4640.3</v>
      </c>
      <c r="AH16" s="110">
        <f>4304.2</f>
        <v>4304.2</v>
      </c>
      <c r="AI16" s="111">
        <f t="shared" si="11"/>
        <v>336.1</v>
      </c>
      <c r="AJ16" s="251">
        <f>125.5+4</f>
        <v>129.5</v>
      </c>
      <c r="AK16" s="112">
        <f>0</f>
        <v>0</v>
      </c>
      <c r="AL16" s="112">
        <f>0</f>
        <v>0</v>
      </c>
      <c r="AM16" s="112">
        <f>206.6</f>
        <v>206.6</v>
      </c>
      <c r="AN16" s="105">
        <f>4304.2+125.5+206.6+4</f>
        <v>4640.3</v>
      </c>
      <c r="AO16" s="34">
        <f t="shared" si="7"/>
        <v>30</v>
      </c>
      <c r="AP16" s="113">
        <f>30</f>
        <v>30</v>
      </c>
      <c r="AQ16" s="33">
        <v>0</v>
      </c>
      <c r="AR16" s="33">
        <v>0</v>
      </c>
      <c r="AS16" s="33">
        <f>0</f>
        <v>0</v>
      </c>
    </row>
    <row r="17" spans="2:45" s="40" customFormat="1" ht="90" customHeight="1" thickBot="1">
      <c r="B17" s="117" t="s">
        <v>35</v>
      </c>
      <c r="C17" s="35">
        <f t="shared" ref="C17:AS17" si="12">C10+C11+C12+C13+C14+C15+C16</f>
        <v>104181.30000000002</v>
      </c>
      <c r="D17" s="35">
        <f t="shared" si="12"/>
        <v>191</v>
      </c>
      <c r="E17" s="101">
        <f t="shared" si="12"/>
        <v>104181.3</v>
      </c>
      <c r="F17" s="36">
        <f t="shared" si="12"/>
        <v>97666.1</v>
      </c>
      <c r="G17" s="37">
        <f t="shared" si="12"/>
        <v>6515.2</v>
      </c>
      <c r="H17" s="38">
        <f t="shared" si="12"/>
        <v>2575.5</v>
      </c>
      <c r="I17" s="38">
        <f t="shared" si="12"/>
        <v>2948.1</v>
      </c>
      <c r="J17" s="38">
        <f t="shared" si="12"/>
        <v>991.6</v>
      </c>
      <c r="K17" s="38">
        <f t="shared" si="12"/>
        <v>0</v>
      </c>
      <c r="L17" s="105">
        <f t="shared" si="12"/>
        <v>104181.30000000002</v>
      </c>
      <c r="M17" s="39">
        <f t="shared" si="12"/>
        <v>191</v>
      </c>
      <c r="N17" s="118">
        <f t="shared" si="12"/>
        <v>191</v>
      </c>
      <c r="O17" s="118">
        <f t="shared" si="12"/>
        <v>0</v>
      </c>
      <c r="P17" s="38">
        <f t="shared" si="12"/>
        <v>0</v>
      </c>
      <c r="Q17" s="119">
        <f t="shared" si="12"/>
        <v>0</v>
      </c>
      <c r="R17" s="120"/>
      <c r="S17" s="121"/>
      <c r="T17" s="101">
        <f t="shared" si="12"/>
        <v>104845.99999999999</v>
      </c>
      <c r="U17" s="36">
        <f t="shared" si="12"/>
        <v>101184.5</v>
      </c>
      <c r="V17" s="37">
        <f t="shared" si="12"/>
        <v>3661.4999999999995</v>
      </c>
      <c r="W17" s="38">
        <f t="shared" si="12"/>
        <v>2669.9</v>
      </c>
      <c r="X17" s="38">
        <f t="shared" si="12"/>
        <v>0</v>
      </c>
      <c r="Y17" s="38">
        <f t="shared" si="12"/>
        <v>0</v>
      </c>
      <c r="Z17" s="38">
        <f t="shared" si="12"/>
        <v>991.6</v>
      </c>
      <c r="AA17" s="105">
        <f t="shared" si="12"/>
        <v>104845.99999999999</v>
      </c>
      <c r="AB17" s="39">
        <f t="shared" si="12"/>
        <v>191</v>
      </c>
      <c r="AC17" s="38">
        <f t="shared" si="12"/>
        <v>191</v>
      </c>
      <c r="AD17" s="38">
        <f t="shared" si="12"/>
        <v>0</v>
      </c>
      <c r="AE17" s="38">
        <f t="shared" si="12"/>
        <v>0</v>
      </c>
      <c r="AF17" s="38">
        <f t="shared" si="12"/>
        <v>0</v>
      </c>
      <c r="AG17" s="101">
        <f t="shared" si="12"/>
        <v>108572.80000000002</v>
      </c>
      <c r="AH17" s="36">
        <f t="shared" si="12"/>
        <v>104827.1</v>
      </c>
      <c r="AI17" s="37">
        <f t="shared" si="12"/>
        <v>3745.7000000000003</v>
      </c>
      <c r="AJ17" s="252">
        <f t="shared" si="12"/>
        <v>2754.0999999999995</v>
      </c>
      <c r="AK17" s="38">
        <f t="shared" si="12"/>
        <v>0</v>
      </c>
      <c r="AL17" s="38">
        <f t="shared" si="12"/>
        <v>0</v>
      </c>
      <c r="AM17" s="38">
        <f t="shared" si="12"/>
        <v>991.6</v>
      </c>
      <c r="AN17" s="105">
        <f t="shared" si="12"/>
        <v>108572.80000000003</v>
      </c>
      <c r="AO17" s="39">
        <f t="shared" si="12"/>
        <v>191</v>
      </c>
      <c r="AP17" s="118">
        <f t="shared" si="12"/>
        <v>191</v>
      </c>
      <c r="AQ17" s="38">
        <f t="shared" si="12"/>
        <v>0</v>
      </c>
      <c r="AR17" s="38">
        <f t="shared" si="12"/>
        <v>0</v>
      </c>
      <c r="AS17" s="38">
        <f t="shared" si="12"/>
        <v>0</v>
      </c>
    </row>
    <row r="18" spans="2:45" s="24" customFormat="1" ht="35.1" customHeight="1">
      <c r="B18" s="122"/>
      <c r="C18" s="25"/>
      <c r="D18" s="25"/>
      <c r="E18" s="25"/>
      <c r="F18" s="25"/>
      <c r="G18" s="25"/>
      <c r="H18" s="25"/>
      <c r="I18" s="25"/>
      <c r="J18" s="25"/>
      <c r="K18" s="25"/>
      <c r="L18" s="26"/>
      <c r="M18" s="25"/>
      <c r="N18" s="25"/>
      <c r="O18" s="25"/>
      <c r="P18" s="25"/>
      <c r="Q18" s="25"/>
      <c r="R18" s="25"/>
      <c r="S18" s="123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123"/>
      <c r="AH18" s="25"/>
      <c r="AI18" s="25"/>
      <c r="AJ18" s="25"/>
      <c r="AK18" s="25"/>
      <c r="AL18" s="25"/>
      <c r="AM18" s="25"/>
      <c r="AN18" s="27"/>
      <c r="AO18" s="27"/>
    </row>
    <row r="19" spans="2:45" s="24" customFormat="1" ht="35.1" customHeight="1">
      <c r="B19" s="122"/>
      <c r="L19" s="4"/>
      <c r="S19" s="124"/>
      <c r="AG19" s="124"/>
      <c r="AN19" s="27"/>
      <c r="AO19" s="27"/>
    </row>
    <row r="20" spans="2:45" s="24" customFormat="1" ht="35.1" customHeight="1">
      <c r="B20" s="122"/>
      <c r="L20" s="4"/>
      <c r="S20" s="124"/>
      <c r="AG20" s="124"/>
      <c r="AN20" s="27"/>
      <c r="AO20" s="27"/>
    </row>
    <row r="21" spans="2:45" s="24" customFormat="1" ht="35.1" customHeight="1">
      <c r="B21" s="122"/>
      <c r="L21" s="4"/>
      <c r="S21" s="124"/>
      <c r="AG21" s="124"/>
      <c r="AN21" s="27"/>
      <c r="AO21" s="27"/>
    </row>
    <row r="22" spans="2:45" s="24" customFormat="1" ht="35.1" customHeight="1">
      <c r="B22" s="122"/>
      <c r="L22" s="4"/>
      <c r="S22" s="124"/>
      <c r="AG22" s="124"/>
      <c r="AN22" s="27"/>
      <c r="AO22" s="27"/>
    </row>
    <row r="23" spans="2:45" s="24" customFormat="1" ht="35.1" customHeight="1">
      <c r="B23" s="122"/>
      <c r="L23" s="4"/>
      <c r="S23" s="124"/>
      <c r="AG23" s="124"/>
      <c r="AN23" s="27"/>
      <c r="AO23" s="27"/>
    </row>
    <row r="24" spans="2:45" ht="35.1" customHeight="1"/>
    <row r="25" spans="2:45" ht="35.1" customHeight="1"/>
    <row r="26" spans="2:45" ht="35.1" customHeight="1"/>
    <row r="27" spans="2:45" ht="35.1" customHeight="1"/>
    <row r="28" spans="2:45" ht="35.1" customHeight="1"/>
    <row r="29" spans="2:45" ht="35.1" customHeight="1"/>
    <row r="30" spans="2:45" ht="35.1" customHeight="1"/>
    <row r="31" spans="2:45" ht="35.1" customHeight="1"/>
  </sheetData>
  <mergeCells count="32">
    <mergeCell ref="B1:Q2"/>
    <mergeCell ref="B4:B8"/>
    <mergeCell ref="C4:D5"/>
    <mergeCell ref="E4:Q4"/>
    <mergeCell ref="S4:AS4"/>
    <mergeCell ref="E5:Q5"/>
    <mergeCell ref="S5:AF5"/>
    <mergeCell ref="AG5:AS5"/>
    <mergeCell ref="E6:Q6"/>
    <mergeCell ref="S6:AF6"/>
    <mergeCell ref="AG6:AS6"/>
    <mergeCell ref="C7:C8"/>
    <mergeCell ref="D7:D8"/>
    <mergeCell ref="E7:E8"/>
    <mergeCell ref="F7:F8"/>
    <mergeCell ref="G7:G8"/>
    <mergeCell ref="H7:K7"/>
    <mergeCell ref="L7:L8"/>
    <mergeCell ref="M7:M8"/>
    <mergeCell ref="N7:Q7"/>
    <mergeCell ref="AP7:AS7"/>
    <mergeCell ref="T7:T8"/>
    <mergeCell ref="U7:V7"/>
    <mergeCell ref="W7:Z7"/>
    <mergeCell ref="AA7:AA8"/>
    <mergeCell ref="AB7:AB8"/>
    <mergeCell ref="AC7:AF7"/>
    <mergeCell ref="AG7:AG8"/>
    <mergeCell ref="AH7:AI7"/>
    <mergeCell ref="AJ7:AM7"/>
    <mergeCell ref="AN7:AN8"/>
    <mergeCell ref="AO7:AO8"/>
  </mergeCells>
  <pageMargins left="0.70866141732283472" right="0.70866141732283472" top="0.74803149606299213" bottom="0.74803149606299213" header="0.31496062992125984" footer="0.31496062992125984"/>
  <pageSetup paperSize="9" scale="48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Осн.парам.бюдж.г.Ртищ.2019-2021</vt:lpstr>
      <vt:lpstr>Расх КВСР ФСР ЦСР ВР 2019-21</vt:lpstr>
      <vt:lpstr>Справочно город 2019-2021</vt:lpstr>
      <vt:lpstr>'Осн.парам.бюдж.г.Ртищ.2019-2021'!Область_печати</vt:lpstr>
      <vt:lpstr>'Расх КВСР ФСР ЦСР ВР 2019-21'!Область_печати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2018-11-07T06:19:57Z</dcterms:modified>
</cp:coreProperties>
</file>