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416" windowWidth="14055" windowHeight="11640" activeTab="0"/>
  </bookViews>
  <sheets>
    <sheet name="КБ 2023-2025" sheetId="1" r:id="rId1"/>
    <sheet name="РМР 2023-2025" sheetId="2" r:id="rId2"/>
  </sheets>
  <externalReferences>
    <externalReference r:id="rId5"/>
  </externalReferences>
  <definedNames>
    <definedName name="_xlnm.Print_Area" localSheetId="0">'КБ 2023-2025'!$A$1:$G$38</definedName>
    <definedName name="_xlnm.Print_Area" localSheetId="1">'РМР 2023-2025'!$A$1:$I$46</definedName>
  </definedNames>
  <calcPr fullCalcOnLoad="1"/>
</workbook>
</file>

<file path=xl/sharedStrings.xml><?xml version="1.0" encoding="utf-8"?>
<sst xmlns="http://schemas.openxmlformats.org/spreadsheetml/2006/main" count="126" uniqueCount="66">
  <si>
    <t>Показатели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</si>
  <si>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</si>
  <si>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</si>
  <si>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</si>
  <si>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</si>
  <si>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>Расходы - всего</t>
  </si>
  <si>
    <t>Дефицит (-), профицит (+)</t>
  </si>
  <si>
    <t>Основные характеристики
бюджета Ртищевского муниципального района</t>
  </si>
  <si>
    <t>тыс. рублей</t>
  </si>
  <si>
    <t>Основные характеристики
бюджетов муниципальных образований Ртищевского муниципального района</t>
  </si>
  <si>
    <t>2021 год</t>
  </si>
  <si>
    <t>2022 год</t>
  </si>
  <si>
    <t>внутренние обороты</t>
  </si>
  <si>
    <t>Отчет</t>
  </si>
  <si>
    <t>Оценка</t>
  </si>
  <si>
    <t>№ п/п</t>
  </si>
  <si>
    <t>Наименование</t>
  </si>
  <si>
    <t>1.</t>
  </si>
  <si>
    <t xml:space="preserve">Доходы - всего: </t>
  </si>
  <si>
    <t>Налоговые и неналоговые доходы</t>
  </si>
  <si>
    <t>из них: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</si>
  <si>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</si>
  <si>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</si>
  <si>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на выравнивание бюджетной обеспеченности муниципальных районов</t>
  </si>
  <si>
    <t>Дотации на поддержку мер по обеспечению сбалансированности бюджетов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</si>
  <si>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</si>
  <si>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по расчету и предоставлению дотаций поселениям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</si>
  <si>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</si>
  <si>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Субсидии бюджетам бюджетной системы  Российской Федерации (межбюджетные субсидии)</t>
  </si>
  <si>
    <t>Иные межбюджетные трансферты</t>
  </si>
  <si>
    <t>Межбюджетные трансферты,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</si>
  <si>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</t>
  </si>
  <si>
    <t>3.</t>
  </si>
  <si>
    <t>Профицит (+), дефицит (-)</t>
  </si>
  <si>
    <t>4.</t>
  </si>
  <si>
    <t>получение</t>
  </si>
  <si>
    <t>погашение</t>
  </si>
  <si>
    <t>Иные источники внутреннего финансирования дефицита бюджета</t>
  </si>
  <si>
    <t>Изменение остатков средств бюджета</t>
  </si>
  <si>
    <t>5.</t>
  </si>
  <si>
    <t>Бюджетные проектировки</t>
  </si>
  <si>
    <t>2023 год</t>
  </si>
  <si>
    <t>Плановый период</t>
  </si>
  <si>
    <t>2024 год</t>
  </si>
  <si>
    <t>в том числе</t>
  </si>
  <si>
    <t>доходы от приносящей доход деятельности</t>
  </si>
  <si>
    <t>ПРОВЕРКА РАСХОДЫ ВСЕГО</t>
  </si>
  <si>
    <t>"Условные" расходы в соответствии со статьей 184.1 БК  РФ</t>
  </si>
  <si>
    <t>ПРОВЕРКА "Условные" расходы в соответствии со статьей 184.1 БК  РФ</t>
  </si>
  <si>
    <t>Расходы, распределенные по бюджетным ассигнованиям</t>
  </si>
  <si>
    <t>ПРОВЕРКА Расходы, распределенные по бюджетным ассигнованиям</t>
  </si>
  <si>
    <t>Источники внутреннего финансирования дефицита бюджета</t>
  </si>
  <si>
    <t xml:space="preserve">Кредиты кредитных организаций </t>
  </si>
  <si>
    <t xml:space="preserve">Бюджетные кредиты от других бюджетов бюджетной системы Российской Федерации </t>
  </si>
  <si>
    <t xml:space="preserve">Предельный объем муниципального долга на конец года </t>
  </si>
  <si>
    <t>Прочие дотации</t>
  </si>
  <si>
    <t xml:space="preserve">2021 год </t>
  </si>
  <si>
    <t>Результат исполнения бюджета (дефицит / профицит)</t>
  </si>
  <si>
    <t>Проект*</t>
  </si>
  <si>
    <t>Прогноз*</t>
  </si>
  <si>
    <t>Основные параметры бюджета Ртищевского муниципального района на 2023 - 2025 годы</t>
  </si>
  <si>
    <t>Оценка (Уточненные бюджетные назначения на 01.10.2022 года)</t>
  </si>
  <si>
    <t>2025 год</t>
  </si>
  <si>
    <t xml:space="preserve">2022 год </t>
  </si>
  <si>
    <t>Основные характеристики
консолидированного бюджета Ртищевского муниципального района на 2023 -2025 годы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</si>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</sst>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1"/>
      <color theme="1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ck">
        <color rgb="FFFFFFFF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0" fontId="5" fillId="0" borderId="0" xfId="0" applyNumberFormat="1" applyFont="1" applyFill="1" applyAlignment="1">
      <alignment wrapText="1"/>
    </xf>
    <xf numFmtId="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0" fontId="4" fillId="0" borderId="0" xfId="0" applyNumberFormat="1" applyFont="1" applyFill="1" applyAlignment="1">
      <alignment wrapText="1"/>
    </xf>
    <xf numFmtId="10" fontId="47" fillId="0" borderId="0" xfId="0" applyNumberFormat="1" applyFont="1" applyFill="1" applyAlignment="1">
      <alignment wrapText="1"/>
    </xf>
    <xf numFmtId="9" fontId="47" fillId="0" borderId="0" xfId="0" applyNumberFormat="1" applyFont="1" applyFill="1" applyAlignment="1">
      <alignment wrapText="1"/>
    </xf>
    <xf numFmtId="0" fontId="47" fillId="0" borderId="0" xfId="0" applyFont="1" applyFill="1" applyAlignment="1">
      <alignment wrapText="1"/>
    </xf>
    <xf numFmtId="9" fontId="4" fillId="0" borderId="0" xfId="0" applyNumberFormat="1" applyFont="1" applyFill="1" applyAlignment="1">
      <alignment wrapText="1"/>
    </xf>
    <xf numFmtId="10" fontId="48" fillId="0" borderId="0" xfId="0" applyNumberFormat="1" applyFont="1" applyFill="1" applyAlignment="1">
      <alignment wrapText="1"/>
    </xf>
    <xf numFmtId="9" fontId="48" fillId="0" borderId="0" xfId="0" applyNumberFormat="1" applyFont="1" applyFill="1" applyAlignment="1">
      <alignment wrapText="1"/>
    </xf>
    <xf numFmtId="0" fontId="48" fillId="0" borderId="0" xfId="0" applyFont="1" applyFill="1" applyAlignment="1">
      <alignment wrapText="1"/>
    </xf>
    <xf numFmtId="10" fontId="5" fillId="0" borderId="0" xfId="0" applyNumberFormat="1" applyFont="1" applyFill="1" applyAlignment="1">
      <alignment horizontal="right" wrapText="1"/>
    </xf>
    <xf numFmtId="9" fontId="5" fillId="0" borderId="0" xfId="0" applyNumberFormat="1" applyFont="1" applyFill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72" fontId="4" fillId="0" borderId="10" xfId="60" applyNumberFormat="1" applyFont="1" applyFill="1" applyBorder="1" applyAlignment="1">
      <alignment horizontal="right" wrapText="1"/>
    </xf>
    <xf numFmtId="172" fontId="4" fillId="0" borderId="10" xfId="6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172" fontId="47" fillId="0" borderId="10" xfId="6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 shrinkToFit="1"/>
    </xf>
    <xf numFmtId="0" fontId="47" fillId="0" borderId="10" xfId="0" applyFont="1" applyFill="1" applyBorder="1" applyAlignment="1">
      <alignment horizontal="left" wrapText="1" shrinkToFi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 shrinkToFit="1"/>
    </xf>
    <xf numFmtId="172" fontId="48" fillId="0" borderId="10" xfId="6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left" wrapText="1" indent="1" readingOrder="1"/>
    </xf>
    <xf numFmtId="172" fontId="2" fillId="0" borderId="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1" readingOrder="1"/>
    </xf>
    <xf numFmtId="172" fontId="4" fillId="0" borderId="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4" readingOrder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2" fontId="4" fillId="0" borderId="0" xfId="60" applyNumberFormat="1" applyFont="1" applyFill="1" applyBorder="1" applyAlignment="1">
      <alignment horizontal="center" wrapText="1"/>
    </xf>
    <xf numFmtId="172" fontId="2" fillId="0" borderId="0" xfId="6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right" wrapText="1" readingOrder="1"/>
    </xf>
    <xf numFmtId="172" fontId="4" fillId="0" borderId="10" xfId="0" applyNumberFormat="1" applyFont="1" applyFill="1" applyBorder="1" applyAlignment="1">
      <alignment horizontal="right" wrapText="1" readingOrder="1"/>
    </xf>
    <xf numFmtId="172" fontId="2" fillId="0" borderId="10" xfId="0" applyNumberFormat="1" applyFont="1" applyFill="1" applyBorder="1" applyAlignment="1">
      <alignment horizontal="right" readingOrder="1"/>
    </xf>
    <xf numFmtId="172" fontId="2" fillId="0" borderId="10" xfId="0" applyNumberFormat="1" applyFont="1" applyFill="1" applyBorder="1" applyAlignment="1">
      <alignment horizontal="right"/>
    </xf>
    <xf numFmtId="172" fontId="4" fillId="0" borderId="0" xfId="60" applyNumberFormat="1" applyFont="1" applyFill="1" applyBorder="1" applyAlignment="1">
      <alignment horizontal="right"/>
    </xf>
    <xf numFmtId="172" fontId="4" fillId="0" borderId="0" xfId="60" applyNumberFormat="1" applyFon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 indent="1" readingOrder="1"/>
    </xf>
    <xf numFmtId="172" fontId="4" fillId="0" borderId="10" xfId="0" applyNumberFormat="1" applyFont="1" applyFill="1" applyBorder="1" applyAlignment="1">
      <alignment horizontal="right" wrapText="1" indent="1" readingOrder="1"/>
    </xf>
    <xf numFmtId="172" fontId="4" fillId="0" borderId="10" xfId="0" applyNumberFormat="1" applyFont="1" applyFill="1" applyBorder="1" applyAlignment="1">
      <alignment horizontal="center" wrapText="1" readingOrder="1"/>
    </xf>
    <xf numFmtId="172" fontId="2" fillId="0" borderId="10" xfId="0" applyNumberFormat="1" applyFont="1" applyFill="1" applyBorder="1" applyAlignment="1">
      <alignment wrapText="1" readingOrder="1"/>
    </xf>
    <xf numFmtId="172" fontId="4" fillId="0" borderId="10" xfId="0" applyNumberFormat="1" applyFont="1" applyFill="1" applyBorder="1" applyAlignment="1">
      <alignment wrapText="1" readingOrder="1"/>
    </xf>
    <xf numFmtId="172" fontId="2" fillId="0" borderId="10" xfId="0" applyNumberFormat="1" applyFont="1" applyFill="1" applyBorder="1" applyAlignment="1">
      <alignment readingOrder="1"/>
    </xf>
    <xf numFmtId="172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2;&#1076;&#1084;&#1080;&#1085;\Desktop\&#1041;&#1070;&#1044;&#1046;&#1045;&#1058;%20&#1085;&#1072;%202022-2024%20&#1075;&#1086;&#1076;&#1099;\&#1041;&#1102;&#1076;&#1078;&#1077;&#1090;%20&#1056;&#1052;&#1056;%20&#1085;&#1072;%202022-2024%20&#1075;&#1075;\&#1057;&#1088;&#1077;&#1076;&#1085;&#1077;&#1089;&#1088;&#1086;&#1095;&#1085;&#1099;&#1081;%20&#1087;&#1083;&#1072;&#1085;%20&#1056;&#1052;&#1056;%20&#1085;&#1072;%202022-2024&#1075;&#1075;\&#1057;&#1088;&#1077;&#1076;&#1085;&#1077;&#1089;.&#1092;&#1080;&#1085;.&#1087;&#1083;&#1072;&#1085;%20&#1056;&#1052;&#1056;%202022-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1 Осн.пар.конс.бюдж.22-24"/>
      <sheetName val="Пр.2 Осн.пар.бюдж.РМР 22-24"/>
      <sheetName val="Пр.3 Расх КВСР 22-24"/>
      <sheetName val="Прил4 Дот.обл.2022-2024"/>
      <sheetName val="Прил5 Иные МБТ из РМР 202-2024"/>
      <sheetName val="Справочно  СП и ГП 22-24"/>
    </sheetNames>
    <sheetDataSet>
      <sheetData sheetId="2">
        <row r="3811">
          <cell r="J3811">
            <v>856567.0999999999</v>
          </cell>
          <cell r="K3811">
            <v>783181.3</v>
          </cell>
          <cell r="L3811">
            <v>798148.0999999999</v>
          </cell>
        </row>
        <row r="3812">
          <cell r="J3812">
            <v>0</v>
          </cell>
          <cell r="K3812">
            <v>8000</v>
          </cell>
          <cell r="L3812">
            <v>17000</v>
          </cell>
        </row>
        <row r="3813">
          <cell r="J3813">
            <v>856567.0999999999</v>
          </cell>
          <cell r="K3813">
            <v>791181.3</v>
          </cell>
          <cell r="L3813">
            <v>815148.0999999999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SheetLayoutView="100" zoomScalePageLayoutView="0" workbookViewId="0" topLeftCell="A13">
      <selection activeCell="B24" sqref="B24"/>
    </sheetView>
  </sheetViews>
  <sheetFormatPr defaultColWidth="9.140625" defaultRowHeight="15"/>
  <cols>
    <col min="1" max="1" width="40.140625" style="44" customWidth="1"/>
    <col min="2" max="2" width="18.00390625" style="44" customWidth="1"/>
    <col min="3" max="3" width="21.140625" style="44" customWidth="1"/>
    <col min="4" max="4" width="18.140625" style="44" customWidth="1"/>
    <col min="5" max="7" width="17.140625" style="44" customWidth="1"/>
    <col min="8" max="8" width="11.140625" style="44" hidden="1" customWidth="1"/>
    <col min="9" max="9" width="9.8515625" style="44" hidden="1" customWidth="1"/>
    <col min="10" max="10" width="12.140625" style="44" hidden="1" customWidth="1"/>
    <col min="11" max="11" width="11.421875" style="44" hidden="1" customWidth="1"/>
    <col min="12" max="12" width="11.57421875" style="44" hidden="1" customWidth="1"/>
    <col min="13" max="13" width="10.8515625" style="44" hidden="1" customWidth="1"/>
    <col min="14" max="28" width="0" style="44" hidden="1" customWidth="1"/>
    <col min="29" max="16384" width="9.140625" style="44" customWidth="1"/>
  </cols>
  <sheetData>
    <row r="1" spans="1:10" ht="61.5" customHeight="1" thickBot="1">
      <c r="A1" s="72" t="s">
        <v>64</v>
      </c>
      <c r="B1" s="72"/>
      <c r="C1" s="72"/>
      <c r="D1" s="72"/>
      <c r="E1" s="72"/>
      <c r="F1" s="72"/>
      <c r="G1" s="72"/>
      <c r="H1" s="1"/>
      <c r="I1" s="1"/>
      <c r="J1" s="1"/>
    </row>
    <row r="2" spans="1:10" ht="13.5" customHeight="1" thickTop="1">
      <c r="A2" s="7"/>
      <c r="B2" s="7"/>
      <c r="C2" s="7"/>
      <c r="D2" s="7"/>
      <c r="E2" s="7"/>
      <c r="F2" s="7"/>
      <c r="G2" s="45" t="s">
        <v>8</v>
      </c>
      <c r="H2" s="45"/>
      <c r="I2" s="45"/>
      <c r="J2" s="45"/>
    </row>
    <row r="3" spans="1:10" ht="28.5" customHeight="1">
      <c r="A3" s="73" t="s">
        <v>0</v>
      </c>
      <c r="B3" s="46" t="s">
        <v>56</v>
      </c>
      <c r="C3" s="46" t="s">
        <v>63</v>
      </c>
      <c r="D3" s="46" t="s">
        <v>63</v>
      </c>
      <c r="E3" s="46" t="s">
        <v>41</v>
      </c>
      <c r="F3" s="46" t="s">
        <v>43</v>
      </c>
      <c r="G3" s="46" t="s">
        <v>62</v>
      </c>
      <c r="H3" s="47"/>
      <c r="I3" s="47"/>
      <c r="J3" s="47"/>
    </row>
    <row r="4" spans="1:10" ht="37.5">
      <c r="A4" s="74"/>
      <c r="B4" s="46" t="s">
        <v>13</v>
      </c>
      <c r="C4" s="46" t="s">
        <v>40</v>
      </c>
      <c r="D4" s="46" t="s">
        <v>14</v>
      </c>
      <c r="E4" s="46" t="s">
        <v>58</v>
      </c>
      <c r="F4" s="46" t="s">
        <v>59</v>
      </c>
      <c r="G4" s="46" t="s">
        <v>59</v>
      </c>
      <c r="H4" s="47"/>
      <c r="I4" s="47"/>
      <c r="J4" s="47"/>
    </row>
    <row r="5" spans="1:10" ht="18.75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7"/>
      <c r="I5" s="47"/>
      <c r="J5" s="47"/>
    </row>
    <row r="6" spans="1:10" ht="18.75">
      <c r="A6" s="48" t="s">
        <v>1</v>
      </c>
      <c r="B6" s="59">
        <f aca="true" t="shared" si="0" ref="B6:G6">B8+B9</f>
        <v>1157723.7</v>
      </c>
      <c r="C6" s="59">
        <f>C8+C9</f>
        <v>1003443</v>
      </c>
      <c r="D6" s="59">
        <f t="shared" si="0"/>
        <v>1244253.7</v>
      </c>
      <c r="E6" s="59">
        <f t="shared" si="0"/>
        <v>1104578.7000000002</v>
      </c>
      <c r="F6" s="59">
        <f t="shared" si="0"/>
        <v>989243.1000000001</v>
      </c>
      <c r="G6" s="59">
        <f t="shared" si="0"/>
        <v>1009498.2</v>
      </c>
      <c r="H6" s="49"/>
      <c r="I6" s="49"/>
      <c r="J6" s="49"/>
    </row>
    <row r="7" spans="1:10" ht="18.75">
      <c r="A7" s="50" t="s">
        <v>2</v>
      </c>
      <c r="B7" s="66"/>
      <c r="C7" s="60"/>
      <c r="D7" s="66"/>
      <c r="E7" s="60"/>
      <c r="F7" s="60"/>
      <c r="G7" s="60"/>
      <c r="H7" s="51"/>
      <c r="I7" s="51"/>
      <c r="J7" s="51"/>
    </row>
    <row r="8" spans="1:13" ht="37.5">
      <c r="A8" s="52" t="s">
        <v>3</v>
      </c>
      <c r="B8" s="60">
        <f aca="true" t="shared" si="1" ref="B8:G8">B21+B34</f>
        <v>381084.2</v>
      </c>
      <c r="C8" s="60">
        <f>C21+C34</f>
        <v>336730.9</v>
      </c>
      <c r="D8" s="60">
        <f t="shared" si="1"/>
        <v>342080.3</v>
      </c>
      <c r="E8" s="60">
        <f t="shared" si="1"/>
        <v>376237</v>
      </c>
      <c r="F8" s="60">
        <f t="shared" si="1"/>
        <v>390570.8</v>
      </c>
      <c r="G8" s="60">
        <f t="shared" si="1"/>
        <v>412706.69999999995</v>
      </c>
      <c r="H8" s="51">
        <v>2021</v>
      </c>
      <c r="I8" s="51">
        <v>2022</v>
      </c>
      <c r="J8" s="51">
        <v>2022</v>
      </c>
      <c r="K8" s="44">
        <v>2023</v>
      </c>
      <c r="L8" s="44">
        <v>2024</v>
      </c>
      <c r="M8" s="44">
        <v>2025</v>
      </c>
    </row>
    <row r="9" spans="1:14" ht="18.75">
      <c r="A9" s="52" t="s">
        <v>4</v>
      </c>
      <c r="B9" s="60">
        <f aca="true" t="shared" si="2" ref="B9:G10">B22+B35-H9</f>
        <v>776639.5</v>
      </c>
      <c r="C9" s="60">
        <f t="shared" si="2"/>
        <v>666712.1</v>
      </c>
      <c r="D9" s="60">
        <f t="shared" si="2"/>
        <v>902173.4</v>
      </c>
      <c r="E9" s="60">
        <f t="shared" si="2"/>
        <v>728341.7000000001</v>
      </c>
      <c r="F9" s="60">
        <f t="shared" si="2"/>
        <v>598672.3000000002</v>
      </c>
      <c r="G9" s="60">
        <f t="shared" si="2"/>
        <v>596791.5</v>
      </c>
      <c r="H9" s="67">
        <v>15765.5</v>
      </c>
      <c r="I9" s="53">
        <f>(179.5+2400)+(2868.5+10000)</f>
        <v>15448</v>
      </c>
      <c r="J9" s="53">
        <v>24832</v>
      </c>
      <c r="K9" s="53">
        <f>(209.6+1600)+(2994.1+0)</f>
        <v>4803.7</v>
      </c>
      <c r="L9" s="53">
        <f>(223.3+1570)+3135.4</f>
        <v>4928.7</v>
      </c>
      <c r="M9" s="53">
        <f>(246.5+990)+3321.4</f>
        <v>4557.9</v>
      </c>
      <c r="N9" s="44" t="s">
        <v>12</v>
      </c>
    </row>
    <row r="10" spans="1:14" ht="18.75">
      <c r="A10" s="48" t="s">
        <v>5</v>
      </c>
      <c r="B10" s="59">
        <f t="shared" si="2"/>
        <v>1155837.7</v>
      </c>
      <c r="C10" s="59">
        <f t="shared" si="2"/>
        <v>1015443</v>
      </c>
      <c r="D10" s="59">
        <f t="shared" si="2"/>
        <v>1286996.2000000002</v>
      </c>
      <c r="E10" s="59">
        <f t="shared" si="2"/>
        <v>1104578.7</v>
      </c>
      <c r="F10" s="59">
        <f t="shared" si="2"/>
        <v>989243.1000000001</v>
      </c>
      <c r="G10" s="59">
        <f t="shared" si="2"/>
        <v>1009498.2000000001</v>
      </c>
      <c r="H10" s="67">
        <v>15765.5</v>
      </c>
      <c r="I10" s="53">
        <f>(179.5+2400)+(2868.5+10000)</f>
        <v>15448</v>
      </c>
      <c r="J10" s="53">
        <v>24832</v>
      </c>
      <c r="K10" s="53">
        <f>(209.6+1600)+(2994.1+0)</f>
        <v>4803.7</v>
      </c>
      <c r="L10" s="53">
        <f>(223.3+1570)+3135.4</f>
        <v>4928.7</v>
      </c>
      <c r="M10" s="53">
        <f>(246.5+990)+3321.4</f>
        <v>4557.9</v>
      </c>
      <c r="N10" s="44" t="s">
        <v>12</v>
      </c>
    </row>
    <row r="11" spans="1:10" ht="18.75">
      <c r="A11" s="48" t="s">
        <v>6</v>
      </c>
      <c r="B11" s="59">
        <f aca="true" t="shared" si="3" ref="B11:G11">B6-B10</f>
        <v>1886</v>
      </c>
      <c r="C11" s="59">
        <f>C6-C10</f>
        <v>-12000</v>
      </c>
      <c r="D11" s="59">
        <f t="shared" si="3"/>
        <v>-42742.50000000023</v>
      </c>
      <c r="E11" s="59">
        <f t="shared" si="3"/>
        <v>0</v>
      </c>
      <c r="F11" s="59">
        <f t="shared" si="3"/>
        <v>0</v>
      </c>
      <c r="G11" s="59">
        <f t="shared" si="3"/>
        <v>0</v>
      </c>
      <c r="H11" s="49"/>
      <c r="I11" s="49"/>
      <c r="J11" s="49"/>
    </row>
    <row r="12" spans="1:7" ht="56.25">
      <c r="A12" s="54" t="s">
        <v>57</v>
      </c>
      <c r="B12" s="61">
        <f aca="true" t="shared" si="4" ref="B12:G12">-B11</f>
        <v>-1886</v>
      </c>
      <c r="C12" s="61">
        <f t="shared" si="4"/>
        <v>12000</v>
      </c>
      <c r="D12" s="61">
        <f t="shared" si="4"/>
        <v>42742.50000000023</v>
      </c>
      <c r="E12" s="61">
        <f t="shared" si="4"/>
        <v>0</v>
      </c>
      <c r="F12" s="61">
        <f t="shared" si="4"/>
        <v>0</v>
      </c>
      <c r="G12" s="61">
        <f t="shared" si="4"/>
        <v>0</v>
      </c>
    </row>
    <row r="13" spans="1:7" ht="18.75">
      <c r="A13" s="7"/>
      <c r="B13" s="55"/>
      <c r="C13" s="55"/>
      <c r="D13" s="55"/>
      <c r="E13" s="55"/>
      <c r="F13" s="55"/>
      <c r="G13" s="55"/>
    </row>
    <row r="14" spans="1:10" ht="50.25" customHeight="1" thickBot="1">
      <c r="A14" s="72" t="s">
        <v>7</v>
      </c>
      <c r="B14" s="72"/>
      <c r="C14" s="72"/>
      <c r="D14" s="72"/>
      <c r="E14" s="72"/>
      <c r="F14" s="72"/>
      <c r="G14" s="72"/>
      <c r="H14" s="1"/>
      <c r="I14" s="1"/>
      <c r="J14" s="1"/>
    </row>
    <row r="15" spans="1:10" ht="19.5" thickTop="1">
      <c r="A15" s="7"/>
      <c r="B15" s="7"/>
      <c r="C15" s="7"/>
      <c r="D15" s="7"/>
      <c r="E15" s="7"/>
      <c r="F15" s="7"/>
      <c r="G15" s="45" t="s">
        <v>8</v>
      </c>
      <c r="H15" s="45"/>
      <c r="I15" s="45"/>
      <c r="J15" s="45"/>
    </row>
    <row r="16" spans="1:10" ht="18.75">
      <c r="A16" s="73" t="s">
        <v>0</v>
      </c>
      <c r="B16" s="46" t="s">
        <v>56</v>
      </c>
      <c r="C16" s="46" t="s">
        <v>63</v>
      </c>
      <c r="D16" s="46" t="s">
        <v>63</v>
      </c>
      <c r="E16" s="46" t="s">
        <v>41</v>
      </c>
      <c r="F16" s="46" t="s">
        <v>43</v>
      </c>
      <c r="G16" s="46" t="s">
        <v>62</v>
      </c>
      <c r="H16" s="47"/>
      <c r="I16" s="47"/>
      <c r="J16" s="47"/>
    </row>
    <row r="17" spans="1:10" ht="37.5">
      <c r="A17" s="74"/>
      <c r="B17" s="46" t="s">
        <v>13</v>
      </c>
      <c r="C17" s="46" t="s">
        <v>40</v>
      </c>
      <c r="D17" s="46" t="s">
        <v>14</v>
      </c>
      <c r="E17" s="46" t="s">
        <v>58</v>
      </c>
      <c r="F17" s="46" t="s">
        <v>59</v>
      </c>
      <c r="G17" s="46" t="s">
        <v>59</v>
      </c>
      <c r="H17" s="47"/>
      <c r="I17" s="47"/>
      <c r="J17" s="47"/>
    </row>
    <row r="18" spans="1:10" ht="18.75">
      <c r="A18" s="46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7"/>
      <c r="I18" s="47"/>
      <c r="J18" s="47"/>
    </row>
    <row r="19" spans="1:10" ht="18.75">
      <c r="A19" s="48" t="s">
        <v>1</v>
      </c>
      <c r="B19" s="68">
        <f aca="true" t="shared" si="5" ref="B19:G19">B21+B22</f>
        <v>941152.6000000001</v>
      </c>
      <c r="C19" s="59">
        <f>C21+C22</f>
        <v>844567.1</v>
      </c>
      <c r="D19" s="59">
        <f t="shared" si="5"/>
        <v>972098.3</v>
      </c>
      <c r="E19" s="59">
        <f t="shared" si="5"/>
        <v>935158.5</v>
      </c>
      <c r="F19" s="59">
        <f t="shared" si="5"/>
        <v>858719.5000000001</v>
      </c>
      <c r="G19" s="59">
        <f t="shared" si="5"/>
        <v>871043.3</v>
      </c>
      <c r="H19" s="49"/>
      <c r="I19" s="49"/>
      <c r="J19" s="49"/>
    </row>
    <row r="20" spans="1:10" ht="18.75">
      <c r="A20" s="50" t="s">
        <v>2</v>
      </c>
      <c r="B20" s="69"/>
      <c r="C20" s="60"/>
      <c r="D20" s="69"/>
      <c r="E20" s="60"/>
      <c r="F20" s="60"/>
      <c r="G20" s="60"/>
      <c r="H20" s="51"/>
      <c r="I20" s="51"/>
      <c r="J20" s="51"/>
    </row>
    <row r="21" spans="1:10" ht="37.5">
      <c r="A21" s="52" t="s">
        <v>3</v>
      </c>
      <c r="B21" s="69">
        <v>253004.2</v>
      </c>
      <c r="C21" s="32">
        <f>(12499.5+35100+170618)</f>
        <v>218217.5</v>
      </c>
      <c r="D21" s="69">
        <v>221971.9</v>
      </c>
      <c r="E21" s="32">
        <f>(189220.2+16882+40632)</f>
        <v>246734.2</v>
      </c>
      <c r="F21" s="32">
        <f>(205022.9+13030+40201)</f>
        <v>258253.9</v>
      </c>
      <c r="G21" s="32">
        <f>(220210.3+13030+39775)</f>
        <v>273015.3</v>
      </c>
      <c r="H21" s="56"/>
      <c r="I21" s="56"/>
      <c r="J21" s="56"/>
    </row>
    <row r="22" spans="1:10" ht="18.75">
      <c r="A22" s="52" t="s">
        <v>4</v>
      </c>
      <c r="B22" s="69">
        <v>688148.4</v>
      </c>
      <c r="C22" s="60">
        <f>126254.8+(452297.7+2868.5)+40581.4+(179.5+2400)+367.7+1400</f>
        <v>626349.6</v>
      </c>
      <c r="D22" s="69">
        <v>750126.4</v>
      </c>
      <c r="E22" s="33">
        <f>(174219.7+459517.7+47522.6+(376.5+4978.2+1600+209.6))</f>
        <v>688424.3</v>
      </c>
      <c r="F22" s="33">
        <f>(138050.4+460245.4+0+376.5+1570+223.3)</f>
        <v>600465.6000000001</v>
      </c>
      <c r="G22" s="33">
        <f>(135372.6+461042.4+0+376.5+990+246.5)</f>
        <v>598028</v>
      </c>
      <c r="H22" s="51"/>
      <c r="I22" s="51"/>
      <c r="J22" s="51"/>
    </row>
    <row r="23" spans="1:10" ht="18.75">
      <c r="A23" s="48" t="s">
        <v>5</v>
      </c>
      <c r="B23" s="68">
        <v>953098.9</v>
      </c>
      <c r="C23" s="32">
        <f>((12499.5+35100+170618)+126254.8+455166.2+40581.4+(179.5+2400)+(367.7+1400)+12000)</f>
        <v>856567.1</v>
      </c>
      <c r="D23" s="68">
        <v>998950.3</v>
      </c>
      <c r="E23" s="32">
        <f>(189220.2+16882+40632)+(174219.7+459517.7+47522.6+(376.5+4978.2+1600+209.6)+0)</f>
        <v>935158.5</v>
      </c>
      <c r="F23" s="33">
        <f>((205022.9+13030+40201)+(138050.4+460245.4+0+376.5+1570+223.3)+0)</f>
        <v>858719.5000000001</v>
      </c>
      <c r="G23" s="33">
        <f>((220210.3+13030+39775)+(135372.6+461042.4+0+376.5+990+246.5)+0)</f>
        <v>871043.3</v>
      </c>
      <c r="H23" s="57"/>
      <c r="I23" s="57"/>
      <c r="J23" s="57"/>
    </row>
    <row r="24" spans="1:10" ht="18.75">
      <c r="A24" s="48" t="s">
        <v>6</v>
      </c>
      <c r="B24" s="68">
        <f aca="true" t="shared" si="6" ref="B24:G24">B19-B23</f>
        <v>-11946.29999999993</v>
      </c>
      <c r="C24" s="59">
        <f>C19-C23</f>
        <v>-12000</v>
      </c>
      <c r="D24" s="68">
        <f t="shared" si="6"/>
        <v>-26852</v>
      </c>
      <c r="E24" s="59">
        <f t="shared" si="6"/>
        <v>0</v>
      </c>
      <c r="F24" s="59">
        <f t="shared" si="6"/>
        <v>0</v>
      </c>
      <c r="G24" s="59">
        <f t="shared" si="6"/>
        <v>0</v>
      </c>
      <c r="H24" s="49"/>
      <c r="I24" s="49"/>
      <c r="J24" s="49"/>
    </row>
    <row r="25" spans="1:7" s="58" customFormat="1" ht="56.25">
      <c r="A25" s="54" t="s">
        <v>57</v>
      </c>
      <c r="B25" s="70">
        <f aca="true" t="shared" si="7" ref="B25:G25">-B24</f>
        <v>11946.29999999993</v>
      </c>
      <c r="C25" s="62">
        <f>-C24</f>
        <v>12000</v>
      </c>
      <c r="D25" s="70">
        <f t="shared" si="7"/>
        <v>26852</v>
      </c>
      <c r="E25" s="62">
        <f t="shared" si="7"/>
        <v>0</v>
      </c>
      <c r="F25" s="62">
        <f t="shared" si="7"/>
        <v>0</v>
      </c>
      <c r="G25" s="62">
        <f t="shared" si="7"/>
        <v>0</v>
      </c>
    </row>
    <row r="27" spans="1:10" ht="66" customHeight="1" thickBot="1">
      <c r="A27" s="72" t="s">
        <v>9</v>
      </c>
      <c r="B27" s="72"/>
      <c r="C27" s="72"/>
      <c r="D27" s="72"/>
      <c r="E27" s="72"/>
      <c r="F27" s="72"/>
      <c r="G27" s="72"/>
      <c r="H27" s="1"/>
      <c r="I27" s="1"/>
      <c r="J27" s="1"/>
    </row>
    <row r="28" spans="1:10" ht="19.5" thickTop="1">
      <c r="A28" s="7"/>
      <c r="B28" s="7"/>
      <c r="C28" s="7"/>
      <c r="D28" s="7"/>
      <c r="E28" s="7"/>
      <c r="F28" s="7"/>
      <c r="G28" s="45" t="s">
        <v>8</v>
      </c>
      <c r="H28" s="45"/>
      <c r="I28" s="45"/>
      <c r="J28" s="45"/>
    </row>
    <row r="29" spans="1:10" ht="18.75">
      <c r="A29" s="73" t="s">
        <v>0</v>
      </c>
      <c r="B29" s="46" t="s">
        <v>56</v>
      </c>
      <c r="C29" s="46" t="s">
        <v>63</v>
      </c>
      <c r="D29" s="46" t="s">
        <v>63</v>
      </c>
      <c r="E29" s="46" t="s">
        <v>41</v>
      </c>
      <c r="F29" s="46" t="s">
        <v>43</v>
      </c>
      <c r="G29" s="46" t="s">
        <v>62</v>
      </c>
      <c r="H29" s="47"/>
      <c r="I29" s="47"/>
      <c r="J29" s="47"/>
    </row>
    <row r="30" spans="1:10" ht="37.5">
      <c r="A30" s="74"/>
      <c r="B30" s="46" t="s">
        <v>13</v>
      </c>
      <c r="C30" s="46" t="s">
        <v>40</v>
      </c>
      <c r="D30" s="46" t="s">
        <v>14</v>
      </c>
      <c r="E30" s="46" t="s">
        <v>58</v>
      </c>
      <c r="F30" s="46" t="s">
        <v>59</v>
      </c>
      <c r="G30" s="46" t="s">
        <v>59</v>
      </c>
      <c r="H30" s="47"/>
      <c r="I30" s="47"/>
      <c r="J30" s="47"/>
    </row>
    <row r="31" spans="1:10" ht="18.75">
      <c r="A31" s="46">
        <v>1</v>
      </c>
      <c r="B31" s="46">
        <v>2</v>
      </c>
      <c r="C31" s="46">
        <v>3</v>
      </c>
      <c r="D31" s="46">
        <v>4</v>
      </c>
      <c r="E31" s="46">
        <v>5</v>
      </c>
      <c r="F31" s="46">
        <v>6</v>
      </c>
      <c r="G31" s="46">
        <v>7</v>
      </c>
      <c r="H31" s="47"/>
      <c r="I31" s="47"/>
      <c r="J31" s="47"/>
    </row>
    <row r="32" spans="1:10" ht="18.75">
      <c r="A32" s="48" t="s">
        <v>1</v>
      </c>
      <c r="B32" s="59">
        <f aca="true" t="shared" si="8" ref="B32:G32">B34+B35</f>
        <v>232336.6</v>
      </c>
      <c r="C32" s="59">
        <f>C34+C35</f>
        <v>174323.9</v>
      </c>
      <c r="D32" s="59">
        <f t="shared" si="8"/>
        <v>296987.4</v>
      </c>
      <c r="E32" s="59">
        <f t="shared" si="8"/>
        <v>174223.9</v>
      </c>
      <c r="F32" s="59">
        <f t="shared" si="8"/>
        <v>135452.3</v>
      </c>
      <c r="G32" s="59">
        <f t="shared" si="8"/>
        <v>143012.8</v>
      </c>
      <c r="H32" s="49"/>
      <c r="I32" s="49"/>
      <c r="J32" s="49"/>
    </row>
    <row r="33" spans="1:10" ht="18.75">
      <c r="A33" s="50" t="s">
        <v>2</v>
      </c>
      <c r="B33" s="66"/>
      <c r="C33" s="60"/>
      <c r="D33" s="66"/>
      <c r="E33" s="60"/>
      <c r="F33" s="60"/>
      <c r="G33" s="60"/>
      <c r="H33" s="51"/>
      <c r="I33" s="51"/>
      <c r="J33" s="51"/>
    </row>
    <row r="34" spans="1:10" ht="37.5">
      <c r="A34" s="52" t="s">
        <v>3</v>
      </c>
      <c r="B34" s="69">
        <v>128080</v>
      </c>
      <c r="C34" s="60">
        <v>118513.4</v>
      </c>
      <c r="D34" s="69">
        <v>120108.4</v>
      </c>
      <c r="E34" s="60">
        <f>129502.8</f>
        <v>129502.8</v>
      </c>
      <c r="F34" s="60">
        <f>132316.9</f>
        <v>132316.9</v>
      </c>
      <c r="G34" s="60">
        <f>139691.4</f>
        <v>139691.4</v>
      </c>
      <c r="H34" s="51"/>
      <c r="I34" s="51"/>
      <c r="J34" s="51"/>
    </row>
    <row r="35" spans="1:10" ht="18.75">
      <c r="A35" s="52" t="s">
        <v>4</v>
      </c>
      <c r="B35" s="69">
        <v>104256.6</v>
      </c>
      <c r="C35" s="60">
        <f>(2868.5+42942+10000)</f>
        <v>55810.5</v>
      </c>
      <c r="D35" s="69">
        <v>176879</v>
      </c>
      <c r="E35" s="60">
        <f>(2994.1+41727)</f>
        <v>44721.1</v>
      </c>
      <c r="F35" s="60">
        <f>3135.4</f>
        <v>3135.4</v>
      </c>
      <c r="G35" s="60">
        <f>3321.4</f>
        <v>3321.4</v>
      </c>
      <c r="H35" s="51"/>
      <c r="I35" s="51"/>
      <c r="J35" s="51"/>
    </row>
    <row r="36" spans="1:10" ht="18.75">
      <c r="A36" s="48" t="s">
        <v>5</v>
      </c>
      <c r="B36" s="68">
        <v>218504.3</v>
      </c>
      <c r="C36" s="59">
        <f>(179.5+2400+171744.4)</f>
        <v>174323.9</v>
      </c>
      <c r="D36" s="68">
        <v>312877.9</v>
      </c>
      <c r="E36" s="59">
        <f>(209.6+1600+172414.3)</f>
        <v>174223.9</v>
      </c>
      <c r="F36" s="59">
        <f>223.3+1570+133659</f>
        <v>135452.3</v>
      </c>
      <c r="G36" s="59">
        <f>246.5+990+141776.3</f>
        <v>143012.8</v>
      </c>
      <c r="H36" s="49"/>
      <c r="I36" s="49"/>
      <c r="J36" s="49"/>
    </row>
    <row r="37" spans="1:10" ht="18.75">
      <c r="A37" s="48" t="s">
        <v>6</v>
      </c>
      <c r="B37" s="68">
        <f aca="true" t="shared" si="9" ref="B37:G37">B32-B36</f>
        <v>13832.300000000017</v>
      </c>
      <c r="C37" s="59">
        <f>C32-C36</f>
        <v>0</v>
      </c>
      <c r="D37" s="68">
        <f t="shared" si="9"/>
        <v>-15890.5</v>
      </c>
      <c r="E37" s="59">
        <f t="shared" si="9"/>
        <v>0</v>
      </c>
      <c r="F37" s="59">
        <f t="shared" si="9"/>
        <v>0</v>
      </c>
      <c r="G37" s="59">
        <f t="shared" si="9"/>
        <v>0</v>
      </c>
      <c r="H37" s="49"/>
      <c r="I37" s="49"/>
      <c r="J37" s="49"/>
    </row>
    <row r="38" spans="1:7" ht="56.25">
      <c r="A38" s="54" t="s">
        <v>57</v>
      </c>
      <c r="B38" s="71">
        <f aca="true" t="shared" si="10" ref="B38:G38">-B37</f>
        <v>-13832.300000000017</v>
      </c>
      <c r="C38" s="62">
        <f>-C37</f>
        <v>0</v>
      </c>
      <c r="D38" s="71">
        <f t="shared" si="10"/>
        <v>15890.5</v>
      </c>
      <c r="E38" s="62">
        <f t="shared" si="10"/>
        <v>0</v>
      </c>
      <c r="F38" s="62">
        <f t="shared" si="10"/>
        <v>0</v>
      </c>
      <c r="G38" s="62">
        <f t="shared" si="10"/>
        <v>0</v>
      </c>
    </row>
  </sheetData>
  <sheetProtection/>
  <mergeCells count="6">
    <mergeCell ref="A1:G1"/>
    <mergeCell ref="A3:A4"/>
    <mergeCell ref="A14:G14"/>
    <mergeCell ref="A16:A17"/>
    <mergeCell ref="A27:G27"/>
    <mergeCell ref="A29:A3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view="pageBreakPreview" zoomScale="75" zoomScaleSheetLayoutView="75" zoomScalePageLayoutView="0" workbookViewId="0" topLeftCell="A1">
      <selection activeCell="E13" sqref="E13"/>
    </sheetView>
  </sheetViews>
  <sheetFormatPr defaultColWidth="9.140625" defaultRowHeight="15"/>
  <cols>
    <col min="1" max="1" width="2.421875" style="10" customWidth="1"/>
    <col min="2" max="2" width="7.140625" style="10" customWidth="1"/>
    <col min="3" max="3" width="52.00390625" style="10" customWidth="1"/>
    <col min="4" max="4" width="17.00390625" style="10" customWidth="1"/>
    <col min="5" max="5" width="18.8515625" style="10" customWidth="1"/>
    <col min="6" max="6" width="19.421875" style="10" customWidth="1"/>
    <col min="7" max="7" width="15.00390625" style="10" customWidth="1"/>
    <col min="8" max="8" width="16.7109375" style="10" customWidth="1"/>
    <col min="9" max="9" width="15.7109375" style="10" customWidth="1"/>
    <col min="10" max="10" width="11.57421875" style="11" hidden="1" customWidth="1"/>
    <col min="11" max="11" width="9.421875" style="11" hidden="1" customWidth="1"/>
    <col min="12" max="12" width="0" style="10" hidden="1" customWidth="1"/>
    <col min="13" max="16384" width="9.140625" style="10" customWidth="1"/>
  </cols>
  <sheetData>
    <row r="1" spans="2:11" s="3" customFormat="1" ht="24.75" customHeight="1">
      <c r="B1" s="75" t="s">
        <v>60</v>
      </c>
      <c r="C1" s="75"/>
      <c r="D1" s="75"/>
      <c r="E1" s="75"/>
      <c r="F1" s="75"/>
      <c r="G1" s="75"/>
      <c r="H1" s="75"/>
      <c r="I1" s="75"/>
      <c r="J1" s="2"/>
      <c r="K1" s="2"/>
    </row>
    <row r="2" spans="10:11" s="3" customFormat="1" ht="18.75">
      <c r="J2" s="2"/>
      <c r="K2" s="2"/>
    </row>
    <row r="3" spans="9:11" s="3" customFormat="1" ht="37.5">
      <c r="I3" s="4" t="s">
        <v>8</v>
      </c>
      <c r="J3" s="2"/>
      <c r="K3" s="2"/>
    </row>
    <row r="4" spans="2:11" s="3" customFormat="1" ht="24.75" customHeight="1">
      <c r="B4" s="76" t="s">
        <v>15</v>
      </c>
      <c r="C4" s="77" t="s">
        <v>16</v>
      </c>
      <c r="D4" s="6" t="s">
        <v>10</v>
      </c>
      <c r="E4" s="77" t="s">
        <v>11</v>
      </c>
      <c r="F4" s="77"/>
      <c r="G4" s="77" t="s">
        <v>41</v>
      </c>
      <c r="H4" s="77" t="s">
        <v>42</v>
      </c>
      <c r="I4" s="77"/>
      <c r="J4" s="2"/>
      <c r="K4" s="2"/>
    </row>
    <row r="5" spans="2:11" s="3" customFormat="1" ht="125.25" customHeight="1">
      <c r="B5" s="76"/>
      <c r="C5" s="77"/>
      <c r="D5" s="6" t="s">
        <v>13</v>
      </c>
      <c r="E5" s="6" t="s">
        <v>40</v>
      </c>
      <c r="F5" s="6" t="s">
        <v>61</v>
      </c>
      <c r="G5" s="77"/>
      <c r="H5" s="6" t="s">
        <v>43</v>
      </c>
      <c r="I5" s="6" t="s">
        <v>62</v>
      </c>
      <c r="J5" s="2"/>
      <c r="K5" s="2"/>
    </row>
    <row r="6" spans="2:11" s="3" customFormat="1" ht="18.75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2"/>
      <c r="K6" s="2"/>
    </row>
    <row r="7" spans="2:11" ht="32.25" customHeight="1">
      <c r="B7" s="30" t="s">
        <v>17</v>
      </c>
      <c r="C7" s="31" t="s">
        <v>18</v>
      </c>
      <c r="D7" s="32">
        <f aca="true" t="shared" si="0" ref="D7:I7">D9+D13</f>
        <v>941152.5999999999</v>
      </c>
      <c r="E7" s="32">
        <f>E9+E13</f>
        <v>844567.0999999999</v>
      </c>
      <c r="F7" s="32">
        <f t="shared" si="0"/>
        <v>972098.3</v>
      </c>
      <c r="G7" s="32">
        <f t="shared" si="0"/>
        <v>935158.5</v>
      </c>
      <c r="H7" s="32">
        <f t="shared" si="0"/>
        <v>858719.5</v>
      </c>
      <c r="I7" s="32">
        <f t="shared" si="0"/>
        <v>871043.3</v>
      </c>
      <c r="J7" s="8">
        <v>1.025</v>
      </c>
      <c r="K7" s="9">
        <v>1.05</v>
      </c>
    </row>
    <row r="8" spans="2:9" ht="18" customHeight="1">
      <c r="B8" s="30"/>
      <c r="C8" s="31" t="s">
        <v>44</v>
      </c>
      <c r="D8" s="32"/>
      <c r="E8" s="32"/>
      <c r="F8" s="32"/>
      <c r="G8" s="32"/>
      <c r="H8" s="32"/>
      <c r="I8" s="32"/>
    </row>
    <row r="9" spans="2:11" ht="21.75" customHeight="1">
      <c r="B9" s="30"/>
      <c r="C9" s="31" t="s">
        <v>19</v>
      </c>
      <c r="D9" s="32">
        <v>253004.2</v>
      </c>
      <c r="E9" s="32">
        <f>(12499.5+35100+170618)</f>
        <v>218217.5</v>
      </c>
      <c r="F9" s="32">
        <v>221971.9</v>
      </c>
      <c r="G9" s="32">
        <f>(189220.2+16882+40632)</f>
        <v>246734.2</v>
      </c>
      <c r="H9" s="32">
        <f>(205022.9+13030+40201)</f>
        <v>258253.9</v>
      </c>
      <c r="I9" s="32">
        <f>(220210.3+13030+39775)</f>
        <v>273015.3</v>
      </c>
      <c r="J9" s="12"/>
      <c r="K9" s="9">
        <v>1.05</v>
      </c>
    </row>
    <row r="10" spans="2:11" ht="18.75">
      <c r="B10" s="30"/>
      <c r="C10" s="31" t="s">
        <v>20</v>
      </c>
      <c r="D10" s="32"/>
      <c r="E10" s="32"/>
      <c r="F10" s="32"/>
      <c r="G10" s="32"/>
      <c r="H10" s="32"/>
      <c r="I10" s="32"/>
      <c r="J10" s="8">
        <v>1.025</v>
      </c>
      <c r="K10" s="9">
        <v>1.05</v>
      </c>
    </row>
    <row r="11" spans="2:11" ht="33" customHeight="1">
      <c r="B11" s="30"/>
      <c r="C11" s="31" t="s">
        <v>45</v>
      </c>
      <c r="D11" s="32">
        <v>0</v>
      </c>
      <c r="E11" s="32">
        <v>0</v>
      </c>
      <c r="F11" s="32">
        <v>0</v>
      </c>
      <c r="G11" s="32">
        <v>0</v>
      </c>
      <c r="H11" s="32">
        <f>G11*J11</f>
        <v>0</v>
      </c>
      <c r="I11" s="32">
        <f>G11*K11</f>
        <v>0</v>
      </c>
      <c r="J11" s="8">
        <v>1.025</v>
      </c>
      <c r="K11" s="9">
        <v>1.05</v>
      </c>
    </row>
    <row r="12" spans="2:11" ht="18.75">
      <c r="B12" s="30"/>
      <c r="C12" s="31"/>
      <c r="D12" s="32"/>
      <c r="E12" s="32"/>
      <c r="F12" s="32"/>
      <c r="G12" s="32"/>
      <c r="H12" s="32"/>
      <c r="I12" s="32"/>
      <c r="J12" s="8">
        <v>1.025</v>
      </c>
      <c r="K12" s="9">
        <v>1.05</v>
      </c>
    </row>
    <row r="13" spans="2:11" ht="24.75" customHeight="1">
      <c r="B13" s="30"/>
      <c r="C13" s="31" t="s">
        <v>21</v>
      </c>
      <c r="D13" s="32">
        <f aca="true" t="shared" si="1" ref="D13:I13">(D15+D19+D23+D24+D27)</f>
        <v>688148.3999999999</v>
      </c>
      <c r="E13" s="32">
        <f t="shared" si="1"/>
        <v>626349.5999999999</v>
      </c>
      <c r="F13" s="32">
        <f t="shared" si="1"/>
        <v>750126.4</v>
      </c>
      <c r="G13" s="32">
        <f t="shared" si="1"/>
        <v>688424.2999999999</v>
      </c>
      <c r="H13" s="32">
        <f t="shared" si="1"/>
        <v>600465.6</v>
      </c>
      <c r="I13" s="32">
        <f t="shared" si="1"/>
        <v>598028</v>
      </c>
      <c r="J13" s="8">
        <v>1.025</v>
      </c>
      <c r="K13" s="9">
        <v>1.05</v>
      </c>
    </row>
    <row r="14" spans="2:11" ht="24.75" customHeight="1">
      <c r="B14" s="30"/>
      <c r="C14" s="31" t="s">
        <v>2</v>
      </c>
      <c r="D14" s="33"/>
      <c r="E14" s="33"/>
      <c r="F14" s="33"/>
      <c r="G14" s="33"/>
      <c r="H14" s="33"/>
      <c r="I14" s="33"/>
      <c r="J14" s="8"/>
      <c r="K14" s="9"/>
    </row>
    <row r="15" spans="2:11" ht="33.75" customHeight="1">
      <c r="B15" s="30"/>
      <c r="C15" s="31" t="s">
        <v>22</v>
      </c>
      <c r="D15" s="33">
        <f aca="true" t="shared" si="2" ref="D15:I15">D16+D17+D18</f>
        <v>126130.7</v>
      </c>
      <c r="E15" s="33">
        <f>E16+E17+E18</f>
        <v>126254.8</v>
      </c>
      <c r="F15" s="33">
        <f t="shared" si="2"/>
        <v>134198.6</v>
      </c>
      <c r="G15" s="33">
        <f t="shared" si="2"/>
        <v>174219.7</v>
      </c>
      <c r="H15" s="33">
        <f t="shared" si="2"/>
        <v>138050.4</v>
      </c>
      <c r="I15" s="33">
        <f t="shared" si="2"/>
        <v>135372.6</v>
      </c>
      <c r="J15" s="8"/>
      <c r="K15" s="9"/>
    </row>
    <row r="16" spans="2:11" ht="35.25" customHeight="1">
      <c r="B16" s="30"/>
      <c r="C16" s="31" t="s">
        <v>23</v>
      </c>
      <c r="D16" s="33">
        <v>107612.3</v>
      </c>
      <c r="E16" s="33">
        <f>126254.8</f>
        <v>126254.8</v>
      </c>
      <c r="F16" s="33">
        <v>129392.8</v>
      </c>
      <c r="G16" s="33">
        <f>174219.7</f>
        <v>174219.7</v>
      </c>
      <c r="H16" s="33">
        <f>138050.4</f>
        <v>138050.4</v>
      </c>
      <c r="I16" s="33">
        <f>135372.6</f>
        <v>135372.6</v>
      </c>
      <c r="J16" s="8"/>
      <c r="K16" s="9"/>
    </row>
    <row r="17" spans="2:11" ht="37.5" customHeight="1">
      <c r="B17" s="30"/>
      <c r="C17" s="31" t="s">
        <v>24</v>
      </c>
      <c r="D17" s="33">
        <v>15248</v>
      </c>
      <c r="E17" s="33">
        <v>0</v>
      </c>
      <c r="F17" s="33"/>
      <c r="G17" s="33">
        <v>0</v>
      </c>
      <c r="H17" s="33">
        <v>0</v>
      </c>
      <c r="I17" s="33">
        <v>0</v>
      </c>
      <c r="J17" s="8"/>
      <c r="K17" s="9"/>
    </row>
    <row r="18" spans="2:11" ht="37.5" customHeight="1">
      <c r="B18" s="30"/>
      <c r="C18" s="31" t="s">
        <v>55</v>
      </c>
      <c r="D18" s="33">
        <v>3270.4</v>
      </c>
      <c r="E18" s="33">
        <v>0</v>
      </c>
      <c r="F18" s="33">
        <v>4805.8</v>
      </c>
      <c r="G18" s="33">
        <v>0</v>
      </c>
      <c r="H18" s="33">
        <v>0</v>
      </c>
      <c r="I18" s="33">
        <v>0</v>
      </c>
      <c r="J18" s="8"/>
      <c r="K18" s="9"/>
    </row>
    <row r="19" spans="2:11" ht="36.75" customHeight="1">
      <c r="B19" s="30"/>
      <c r="C19" s="31" t="s">
        <v>25</v>
      </c>
      <c r="D19" s="33">
        <v>477300.5</v>
      </c>
      <c r="E19" s="33">
        <f>(1049.6+16527.5)+(6826.9+759.8+279.8)+(7079.9+387.8)+91993.4+323795.5+(1399.4+33.2)+1049.6+349.8+349.8+349.8+65.9+2868.5</f>
        <v>455166.1999999999</v>
      </c>
      <c r="F19" s="33">
        <v>487107.1</v>
      </c>
      <c r="G19" s="33">
        <f>((13961.5+1177.7)+(5754.7+138.8+729+291)+(6509.3+334.1)+93835.2+330438+(1570.3+138.8)+785.1+392.6+392.6+74.9+2994.1)</f>
        <v>459517.6999999999</v>
      </c>
      <c r="H19" s="33">
        <f>((14547.9+1177.7)+(5754.7+138.8+729+291)+(6509.3+334.1)+93835.2+330438+(1570.3+138.8)+785.1+392.6+392.6+74.9+3135.4)</f>
        <v>460245.39999999997</v>
      </c>
      <c r="I19" s="33">
        <f>((15158.9+1177.7)+(5754.7+138.8+729+291)+(6509.3+334.1)+93835.2+330438+(1570.3+138.8)+785.1+392.6+392.6+74.9+3321.4)</f>
        <v>461042.39999999997</v>
      </c>
      <c r="J19" s="8"/>
      <c r="K19" s="9"/>
    </row>
    <row r="20" spans="2:11" ht="24.75" customHeight="1">
      <c r="B20" s="30"/>
      <c r="C20" s="31" t="s">
        <v>20</v>
      </c>
      <c r="D20" s="33"/>
      <c r="E20" s="33"/>
      <c r="F20" s="33"/>
      <c r="G20" s="33"/>
      <c r="H20" s="33"/>
      <c r="I20" s="33"/>
      <c r="J20" s="8"/>
      <c r="K20" s="9"/>
    </row>
    <row r="21" spans="2:11" ht="34.5" customHeight="1">
      <c r="B21" s="30"/>
      <c r="C21" s="31" t="s">
        <v>26</v>
      </c>
      <c r="D21" s="33">
        <v>2748.1</v>
      </c>
      <c r="E21" s="33">
        <f>2868.5</f>
        <v>2868.5</v>
      </c>
      <c r="F21" s="33">
        <v>2868.5</v>
      </c>
      <c r="G21" s="33">
        <f>2994.1</f>
        <v>2994.1</v>
      </c>
      <c r="H21" s="33">
        <f>3135.4</f>
        <v>3135.4</v>
      </c>
      <c r="I21" s="33">
        <f>3321.4</f>
        <v>3321.4</v>
      </c>
      <c r="J21" s="8"/>
      <c r="K21" s="9"/>
    </row>
    <row r="22" spans="2:11" ht="70.5" customHeight="1">
      <c r="B22" s="30"/>
      <c r="C22" s="31" t="s">
        <v>27</v>
      </c>
      <c r="D22" s="33">
        <f>0</f>
        <v>0</v>
      </c>
      <c r="E22" s="33">
        <f>0</f>
        <v>0</v>
      </c>
      <c r="F22" s="33">
        <f>0</f>
        <v>0</v>
      </c>
      <c r="G22" s="33">
        <f>0</f>
        <v>0</v>
      </c>
      <c r="H22" s="33">
        <f>0</f>
        <v>0</v>
      </c>
      <c r="I22" s="33">
        <f>0</f>
        <v>0</v>
      </c>
      <c r="J22" s="8"/>
      <c r="K22" s="9"/>
    </row>
    <row r="23" spans="2:11" ht="54" customHeight="1">
      <c r="B23" s="30"/>
      <c r="C23" s="31" t="s">
        <v>28</v>
      </c>
      <c r="D23" s="33">
        <v>68808.7</v>
      </c>
      <c r="E23" s="33">
        <f>(2727.3+2901.8)+34952.3</f>
        <v>40581.4</v>
      </c>
      <c r="F23" s="33">
        <v>101641.4</v>
      </c>
      <c r="G23" s="33">
        <f>(34022.6+(7000+6500))</f>
        <v>47522.6</v>
      </c>
      <c r="H23" s="33">
        <f>(0)</f>
        <v>0</v>
      </c>
      <c r="I23" s="33">
        <f>(0)</f>
        <v>0</v>
      </c>
      <c r="J23" s="8"/>
      <c r="K23" s="9"/>
    </row>
    <row r="24" spans="2:11" ht="24.75" customHeight="1">
      <c r="B24" s="30"/>
      <c r="C24" s="31" t="s">
        <v>29</v>
      </c>
      <c r="D24" s="33">
        <v>15908.5</v>
      </c>
      <c r="E24" s="33">
        <f>(179.5+2400)+367.7+1400</f>
        <v>4347.2</v>
      </c>
      <c r="F24" s="33">
        <v>27181.9</v>
      </c>
      <c r="G24" s="63">
        <f>(376.5+(1015+2930.2+1033)+((39+41+23+38.3+27.3+41)+(200+0+0+800+100+500)))</f>
        <v>7164.299999999999</v>
      </c>
      <c r="H24" s="63">
        <f>((376.5)+((40+45+23.1+43.5+28.7+43)+(90+0+0+1000+80+400)))</f>
        <v>2169.8</v>
      </c>
      <c r="I24" s="63">
        <f>((376.5)+((40+45+30+58+28.5+45)+(50+0+0+700+30+210)))</f>
        <v>1613</v>
      </c>
      <c r="J24" s="8"/>
      <c r="K24" s="9"/>
    </row>
    <row r="25" spans="2:11" ht="24.75" customHeight="1">
      <c r="B25" s="30"/>
      <c r="C25" s="31" t="s">
        <v>20</v>
      </c>
      <c r="D25" s="33"/>
      <c r="E25" s="33"/>
      <c r="F25" s="33"/>
      <c r="G25" s="33"/>
      <c r="H25" s="33"/>
      <c r="I25" s="33"/>
      <c r="J25" s="8"/>
      <c r="K25" s="9"/>
    </row>
    <row r="26" spans="2:11" ht="54.75" customHeight="1">
      <c r="B26" s="30"/>
      <c r="C26" s="31" t="s">
        <v>30</v>
      </c>
      <c r="D26" s="33">
        <v>327.9</v>
      </c>
      <c r="E26" s="33">
        <f>(179.5+2400)</f>
        <v>2579.5</v>
      </c>
      <c r="F26" s="33">
        <v>3079.5</v>
      </c>
      <c r="G26" s="33">
        <f>((39+41+23+38.3+27.3+41)+(200+0+0+800+100+500))</f>
        <v>1809.6</v>
      </c>
      <c r="H26" s="33">
        <f>((40+45+23.1+43.5+28.7+43)+(90+0+0+1000+80+400))</f>
        <v>1793.3</v>
      </c>
      <c r="I26" s="33">
        <f>((40+45+30+58+28.5+45)+(50+0+0+700+30+210))</f>
        <v>1236.5</v>
      </c>
      <c r="J26" s="8"/>
      <c r="K26" s="9"/>
    </row>
    <row r="27" spans="2:11" ht="54.75" customHeight="1">
      <c r="B27" s="30"/>
      <c r="C27" s="31" t="s">
        <v>65</v>
      </c>
      <c r="D27" s="33"/>
      <c r="E27" s="33"/>
      <c r="F27" s="33">
        <f>-2.6</f>
        <v>-2.6</v>
      </c>
      <c r="G27" s="63"/>
      <c r="H27" s="63"/>
      <c r="I27" s="63"/>
      <c r="J27" s="8"/>
      <c r="K27" s="9"/>
    </row>
    <row r="28" spans="2:11" ht="24.75" customHeight="1">
      <c r="B28" s="30" t="s">
        <v>31</v>
      </c>
      <c r="C28" s="31" t="s">
        <v>5</v>
      </c>
      <c r="D28" s="65">
        <v>953098.9</v>
      </c>
      <c r="E28" s="32">
        <f>((12499.5+35100+170618)+126254.8+455166.2+40581.4+(179.5+2400)+(367.7+1400)+12000)</f>
        <v>856567.1</v>
      </c>
      <c r="F28" s="65">
        <v>998950.3</v>
      </c>
      <c r="G28" s="64">
        <f>((189220.2+16882+40632)+(174219.7+459517.7+47522.6)+(5354.7+209.6+1600))</f>
        <v>935158.5</v>
      </c>
      <c r="H28" s="64">
        <f>((205022.9+13030+40201)+(460245.4+0+376.5+138050.4+223.3+1570))</f>
        <v>858719.5000000001</v>
      </c>
      <c r="I28" s="64">
        <f>((220210.3+13030+39775)+(135372.6+461042.4+376.5+246.5+990))</f>
        <v>871043.3</v>
      </c>
      <c r="J28" s="8">
        <v>1.025</v>
      </c>
      <c r="K28" s="9">
        <v>1.05</v>
      </c>
    </row>
    <row r="29" spans="2:11" ht="24.75" customHeight="1">
      <c r="B29" s="30"/>
      <c r="C29" s="31" t="s">
        <v>20</v>
      </c>
      <c r="D29" s="32"/>
      <c r="E29" s="32"/>
      <c r="F29" s="32"/>
      <c r="G29" s="32"/>
      <c r="H29" s="32"/>
      <c r="I29" s="32"/>
      <c r="J29" s="8"/>
      <c r="K29" s="9"/>
    </row>
    <row r="30" spans="2:11" s="15" customFormat="1" ht="24.75" customHeight="1" hidden="1">
      <c r="B30" s="34"/>
      <c r="C30" s="35" t="s">
        <v>46</v>
      </c>
      <c r="D30" s="36">
        <f>'[1]Пр.3 Расх КВСР 22-24'!G3813</f>
        <v>0</v>
      </c>
      <c r="E30" s="36">
        <f>'[1]Пр.3 Расх КВСР 22-24'!H3813</f>
        <v>0</v>
      </c>
      <c r="F30" s="36">
        <f>'[1]Пр.3 Расх КВСР 22-24'!I3813</f>
        <v>0</v>
      </c>
      <c r="G30" s="36">
        <f>'[1]Пр.3 Расх КВСР 22-24'!J3813</f>
        <v>856567.0999999999</v>
      </c>
      <c r="H30" s="36">
        <f>'[1]Пр.3 Расх КВСР 22-24'!K3813</f>
        <v>791181.3</v>
      </c>
      <c r="I30" s="36">
        <f>'[1]Пр.3 Расх КВСР 22-24'!L3813</f>
        <v>815148.0999999999</v>
      </c>
      <c r="J30" s="13"/>
      <c r="K30" s="14"/>
    </row>
    <row r="31" spans="2:11" ht="42" customHeight="1">
      <c r="B31" s="30"/>
      <c r="C31" s="37" t="s">
        <v>47</v>
      </c>
      <c r="D31" s="32">
        <v>0</v>
      </c>
      <c r="E31" s="32">
        <v>0</v>
      </c>
      <c r="F31" s="32">
        <v>0</v>
      </c>
      <c r="G31" s="32">
        <v>0</v>
      </c>
      <c r="H31" s="32">
        <v>10000</v>
      </c>
      <c r="I31" s="32">
        <v>21000</v>
      </c>
      <c r="J31" s="12"/>
      <c r="K31" s="16"/>
    </row>
    <row r="32" spans="2:11" s="15" customFormat="1" ht="51.75" customHeight="1" hidden="1">
      <c r="B32" s="34"/>
      <c r="C32" s="38" t="s">
        <v>48</v>
      </c>
      <c r="D32" s="36">
        <f>'[1]Пр.3 Расх КВСР 22-24'!G3812</f>
        <v>0</v>
      </c>
      <c r="E32" s="36">
        <f>'[1]Пр.3 Расх КВСР 22-24'!H3812</f>
        <v>0</v>
      </c>
      <c r="F32" s="36">
        <f>'[1]Пр.3 Расх КВСР 22-24'!I3812</f>
        <v>0</v>
      </c>
      <c r="G32" s="36">
        <f>'[1]Пр.3 Расх КВСР 22-24'!J3812</f>
        <v>0</v>
      </c>
      <c r="H32" s="36">
        <f>'[1]Пр.3 Расх КВСР 22-24'!K3812</f>
        <v>8000</v>
      </c>
      <c r="I32" s="36">
        <f>'[1]Пр.3 Расх КВСР 22-24'!L3812</f>
        <v>17000</v>
      </c>
      <c r="J32" s="13"/>
      <c r="K32" s="14"/>
    </row>
    <row r="33" spans="2:11" s="19" customFormat="1" ht="37.5" customHeight="1">
      <c r="B33" s="39"/>
      <c r="C33" s="40" t="s">
        <v>49</v>
      </c>
      <c r="D33" s="41">
        <f aca="true" t="shared" si="3" ref="D33:I33">D28-D31</f>
        <v>953098.9</v>
      </c>
      <c r="E33" s="41">
        <f>E28-E31</f>
        <v>856567.1</v>
      </c>
      <c r="F33" s="41">
        <f t="shared" si="3"/>
        <v>998950.3</v>
      </c>
      <c r="G33" s="41">
        <f t="shared" si="3"/>
        <v>935158.5</v>
      </c>
      <c r="H33" s="41">
        <f t="shared" si="3"/>
        <v>848719.5000000001</v>
      </c>
      <c r="I33" s="41">
        <f t="shared" si="3"/>
        <v>850043.3</v>
      </c>
      <c r="J33" s="17"/>
      <c r="K33" s="18"/>
    </row>
    <row r="34" spans="2:11" ht="24" customHeight="1" hidden="1">
      <c r="B34" s="30"/>
      <c r="C34" s="37" t="s">
        <v>49</v>
      </c>
      <c r="D34" s="32">
        <f>'[1]Пр.3 Расх КВСР 22-24'!G3811</f>
        <v>0</v>
      </c>
      <c r="E34" s="32">
        <f>'[1]Пр.3 Расх КВСР 22-24'!H3811</f>
        <v>0</v>
      </c>
      <c r="F34" s="32">
        <f>'[1]Пр.3 Расх КВСР 22-24'!I3811</f>
        <v>0</v>
      </c>
      <c r="G34" s="32">
        <f>'[1]Пр.3 Расх КВСР 22-24'!J3811</f>
        <v>856567.0999999999</v>
      </c>
      <c r="H34" s="32">
        <f>'[1]Пр.3 Расх КВСР 22-24'!K3811</f>
        <v>783181.3</v>
      </c>
      <c r="I34" s="32">
        <f>'[1]Пр.3 Расх КВСР 22-24'!L3811</f>
        <v>798148.0999999999</v>
      </c>
      <c r="J34" s="8"/>
      <c r="K34" s="9"/>
    </row>
    <row r="35" spans="2:11" s="15" customFormat="1" ht="49.5" customHeight="1" hidden="1">
      <c r="B35" s="34"/>
      <c r="C35" s="37" t="s">
        <v>50</v>
      </c>
      <c r="D35" s="32">
        <f>'[1]Пр.3 Расх КВСР 22-24'!G3812</f>
        <v>0</v>
      </c>
      <c r="E35" s="32">
        <f>'[1]Пр.3 Расх КВСР 22-24'!H3812</f>
        <v>0</v>
      </c>
      <c r="F35" s="32">
        <f>'[1]Пр.3 Расх КВСР 22-24'!I3812</f>
        <v>0</v>
      </c>
      <c r="G35" s="32">
        <f>'[1]Пр.3 Расх КВСР 22-24'!J3812</f>
        <v>0</v>
      </c>
      <c r="H35" s="32">
        <f>'[1]Пр.3 Расх КВСР 22-24'!K3812</f>
        <v>8000</v>
      </c>
      <c r="I35" s="32">
        <f>'[1]Пр.3 Расх КВСР 22-24'!L3812</f>
        <v>17000</v>
      </c>
      <c r="J35" s="13"/>
      <c r="K35" s="14"/>
    </row>
    <row r="36" spans="2:11" ht="30.75" customHeight="1">
      <c r="B36" s="30" t="s">
        <v>32</v>
      </c>
      <c r="C36" s="31" t="s">
        <v>33</v>
      </c>
      <c r="D36" s="32">
        <f aca="true" t="shared" si="4" ref="D36:I36">D7-D28</f>
        <v>-11946.300000000163</v>
      </c>
      <c r="E36" s="32">
        <f>E7-E28</f>
        <v>-12000.000000000116</v>
      </c>
      <c r="F36" s="32">
        <f t="shared" si="4"/>
        <v>-26852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8">
        <v>1.025</v>
      </c>
      <c r="K36" s="9">
        <v>1.05</v>
      </c>
    </row>
    <row r="37" spans="2:11" ht="43.5" customHeight="1">
      <c r="B37" s="30" t="s">
        <v>34</v>
      </c>
      <c r="C37" s="31" t="s">
        <v>51</v>
      </c>
      <c r="D37" s="32">
        <f>D39+D42+D46</f>
        <v>11946.3</v>
      </c>
      <c r="E37" s="32">
        <f>E39+E42+E46</f>
        <v>12000</v>
      </c>
      <c r="F37" s="32">
        <f>F39+F42+F46</f>
        <v>26852</v>
      </c>
      <c r="G37" s="32">
        <f>G39+G42+G46</f>
        <v>0</v>
      </c>
      <c r="H37" s="32">
        <f>H39+H42</f>
        <v>0</v>
      </c>
      <c r="I37" s="32">
        <f>I39+I42</f>
        <v>0</v>
      </c>
      <c r="J37" s="8">
        <v>1.025</v>
      </c>
      <c r="K37" s="9">
        <v>1.05</v>
      </c>
    </row>
    <row r="38" spans="2:11" ht="18.75">
      <c r="B38" s="30"/>
      <c r="C38" s="31" t="s">
        <v>20</v>
      </c>
      <c r="D38" s="32"/>
      <c r="E38" s="32"/>
      <c r="F38" s="32"/>
      <c r="G38" s="32"/>
      <c r="H38" s="32">
        <f>G38*J38</f>
        <v>0</v>
      </c>
      <c r="I38" s="32">
        <f>G38*K38</f>
        <v>0</v>
      </c>
      <c r="J38" s="8">
        <v>1.025</v>
      </c>
      <c r="K38" s="9">
        <v>1.05</v>
      </c>
    </row>
    <row r="39" spans="2:11" ht="20.25" customHeight="1">
      <c r="B39" s="30"/>
      <c r="C39" s="31" t="s">
        <v>52</v>
      </c>
      <c r="D39" s="32">
        <f aca="true" t="shared" si="5" ref="D39:I39">D40+D41</f>
        <v>0</v>
      </c>
      <c r="E39" s="32">
        <f>E40+E41</f>
        <v>12000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8">
        <v>1.025</v>
      </c>
      <c r="K39" s="9">
        <v>1.05</v>
      </c>
    </row>
    <row r="40" spans="2:11" ht="22.5" customHeight="1">
      <c r="B40" s="31"/>
      <c r="C40" s="42" t="s">
        <v>35</v>
      </c>
      <c r="D40" s="32">
        <v>0</v>
      </c>
      <c r="E40" s="32">
        <f>0+12000</f>
        <v>12000</v>
      </c>
      <c r="F40" s="32">
        <v>0</v>
      </c>
      <c r="G40" s="32">
        <f>0</f>
        <v>0</v>
      </c>
      <c r="H40" s="32">
        <f>0</f>
        <v>0</v>
      </c>
      <c r="I40" s="32">
        <f>0</f>
        <v>0</v>
      </c>
      <c r="J40" s="8">
        <v>1.025</v>
      </c>
      <c r="K40" s="9">
        <v>1.05</v>
      </c>
    </row>
    <row r="41" spans="2:11" ht="21" customHeight="1">
      <c r="B41" s="31"/>
      <c r="C41" s="42" t="s">
        <v>36</v>
      </c>
      <c r="D41" s="32">
        <f>0</f>
        <v>0</v>
      </c>
      <c r="E41" s="32">
        <f>0</f>
        <v>0</v>
      </c>
      <c r="F41" s="32">
        <f>0</f>
        <v>0</v>
      </c>
      <c r="G41" s="32">
        <f>0</f>
        <v>0</v>
      </c>
      <c r="H41" s="32">
        <f>0</f>
        <v>0</v>
      </c>
      <c r="I41" s="32">
        <f>0</f>
        <v>0</v>
      </c>
      <c r="J41" s="8">
        <v>1.025</v>
      </c>
      <c r="K41" s="9">
        <v>1.05</v>
      </c>
    </row>
    <row r="42" spans="2:11" ht="33.75" customHeight="1">
      <c r="B42" s="31"/>
      <c r="C42" s="31" t="s">
        <v>53</v>
      </c>
      <c r="D42" s="32">
        <f aca="true" t="shared" si="6" ref="D42:I42">D43+D44</f>
        <v>0</v>
      </c>
      <c r="E42" s="32">
        <f>E43+E44</f>
        <v>0</v>
      </c>
      <c r="F42" s="32">
        <f t="shared" si="6"/>
        <v>0</v>
      </c>
      <c r="G42" s="32">
        <f t="shared" si="6"/>
        <v>0</v>
      </c>
      <c r="H42" s="32">
        <f t="shared" si="6"/>
        <v>0</v>
      </c>
      <c r="I42" s="32">
        <f t="shared" si="6"/>
        <v>0</v>
      </c>
      <c r="J42" s="8">
        <v>1.025</v>
      </c>
      <c r="K42" s="9">
        <v>1.05</v>
      </c>
    </row>
    <row r="43" spans="2:11" ht="18.75" customHeight="1">
      <c r="B43" s="31"/>
      <c r="C43" s="31" t="s">
        <v>35</v>
      </c>
      <c r="D43" s="43">
        <f>0</f>
        <v>0</v>
      </c>
      <c r="E43" s="43">
        <f>0</f>
        <v>0</v>
      </c>
      <c r="F43" s="43">
        <f>0</f>
        <v>0</v>
      </c>
      <c r="G43" s="43">
        <f>0</f>
        <v>0</v>
      </c>
      <c r="H43" s="43">
        <f>G43*J43</f>
        <v>0</v>
      </c>
      <c r="I43" s="43">
        <f>0</f>
        <v>0</v>
      </c>
      <c r="J43" s="8">
        <v>1.025</v>
      </c>
      <c r="K43" s="9">
        <v>1.05</v>
      </c>
    </row>
    <row r="44" spans="2:11" ht="19.5" customHeight="1">
      <c r="B44" s="31"/>
      <c r="C44" s="31" t="s">
        <v>36</v>
      </c>
      <c r="D44" s="43">
        <v>0</v>
      </c>
      <c r="E44" s="43">
        <v>0</v>
      </c>
      <c r="F44" s="43">
        <v>0</v>
      </c>
      <c r="G44" s="43">
        <v>0</v>
      </c>
      <c r="H44" s="43">
        <f>0</f>
        <v>0</v>
      </c>
      <c r="I44" s="43">
        <f>0</f>
        <v>0</v>
      </c>
      <c r="J44" s="20">
        <v>1.025</v>
      </c>
      <c r="K44" s="21">
        <v>1.05</v>
      </c>
    </row>
    <row r="45" spans="2:11" ht="36.75" customHeight="1">
      <c r="B45" s="31"/>
      <c r="C45" s="31" t="s">
        <v>37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20"/>
      <c r="K45" s="21"/>
    </row>
    <row r="46" spans="2:11" ht="30.75" customHeight="1">
      <c r="B46" s="31"/>
      <c r="C46" s="31" t="s">
        <v>38</v>
      </c>
      <c r="D46" s="43">
        <v>11946.3</v>
      </c>
      <c r="E46" s="43">
        <v>0</v>
      </c>
      <c r="F46" s="43">
        <v>26852</v>
      </c>
      <c r="G46" s="43">
        <v>0</v>
      </c>
      <c r="H46" s="43">
        <v>0</v>
      </c>
      <c r="I46" s="43">
        <v>0</v>
      </c>
      <c r="J46" s="20"/>
      <c r="K46" s="21"/>
    </row>
    <row r="47" spans="2:11" ht="43.5" customHeight="1">
      <c r="B47" s="22" t="s">
        <v>39</v>
      </c>
      <c r="C47" s="23" t="s">
        <v>54</v>
      </c>
      <c r="D47" s="24">
        <f aca="true" t="shared" si="7" ref="D47:I47">D9</f>
        <v>253004.2</v>
      </c>
      <c r="E47" s="24">
        <f>E9</f>
        <v>218217.5</v>
      </c>
      <c r="F47" s="24">
        <f t="shared" si="7"/>
        <v>221971.9</v>
      </c>
      <c r="G47" s="24">
        <f t="shared" si="7"/>
        <v>246734.2</v>
      </c>
      <c r="H47" s="24">
        <f t="shared" si="7"/>
        <v>258253.9</v>
      </c>
      <c r="I47" s="24">
        <f t="shared" si="7"/>
        <v>273015.3</v>
      </c>
      <c r="J47" s="20">
        <v>1.025</v>
      </c>
      <c r="K47" s="21">
        <v>1.05</v>
      </c>
    </row>
    <row r="48" spans="2:11" ht="29.25" customHeight="1">
      <c r="B48" s="25"/>
      <c r="G48" s="26"/>
      <c r="H48" s="26"/>
      <c r="I48" s="26"/>
      <c r="J48" s="20"/>
      <c r="K48" s="21"/>
    </row>
    <row r="49" spans="7:11" ht="27.75" customHeight="1">
      <c r="G49" s="26"/>
      <c r="H49" s="26"/>
      <c r="I49" s="27"/>
      <c r="J49" s="20"/>
      <c r="K49" s="21">
        <v>1.05</v>
      </c>
    </row>
    <row r="50" spans="10:11" ht="18.75">
      <c r="J50" s="28"/>
      <c r="K50" s="28"/>
    </row>
    <row r="51" spans="7:11" ht="18.75">
      <c r="G51" s="29"/>
      <c r="H51" s="29"/>
      <c r="I51" s="29"/>
      <c r="J51" s="28"/>
      <c r="K51" s="28"/>
    </row>
    <row r="52" spans="7:11" ht="18.75">
      <c r="G52" s="29"/>
      <c r="H52" s="29"/>
      <c r="I52" s="29"/>
      <c r="J52" s="28"/>
      <c r="K52" s="28"/>
    </row>
    <row r="53" spans="7:11" ht="18.75">
      <c r="G53" s="29"/>
      <c r="H53" s="29"/>
      <c r="I53" s="29"/>
      <c r="J53" s="28"/>
      <c r="K53" s="28"/>
    </row>
  </sheetData>
  <sheetProtection/>
  <mergeCells count="6">
    <mergeCell ref="B1:I1"/>
    <mergeCell ref="B4:B5"/>
    <mergeCell ref="C4:C5"/>
    <mergeCell ref="G4:G5"/>
    <mergeCell ref="H4:I4"/>
    <mergeCell ref="E4:F4"/>
  </mergeCells>
  <printOptions/>
  <pageMargins left="0.7086614173228347" right="0.31496062992125984" top="0.7480314960629921" bottom="0.15748031496062992" header="0.31496062992125984" footer="0.31496062992125984"/>
  <pageSetup fitToHeight="2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Сухарева Татьяна Александровна</dc:creator>
  <cp:keywords/>
  <dc:description/>
  <cp:lastModifiedBy>Наталья</cp:lastModifiedBy>
  <cp:lastPrinted>2021-10-30T19:37:47Z</cp:lastPrinted>
  <dcterms:created xsi:type="dcterms:W3CDTF">2015-12-15T07:22:08Z</dcterms:created>
  <dcterms:modified xsi:type="dcterms:W3CDTF">2022-11-15T06:43:35Z</dcterms:modified>
  <cp:category/>
  <cp:version/>
  <cp:contentType/>
  <cp:contentStatus/>
</cp:coreProperties>
</file>