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defaultThemeVersion="124226"/>
  <bookViews>
    <workbookView xWindow="120" yWindow="105" windowWidth="15120" windowHeight="8010"/>
  </bookViews>
  <sheets>
    <sheet name="Прил.3 Расх КВСР 2016-18" sheetId="10" r:id="rId1"/>
    <sheet name="Пр.1 Осн.пар.конс.бюдж.2016-18" sheetId="12" r:id="rId2"/>
    <sheet name="Пр.2 Осн.пар.бюджРМР 2016-18" sheetId="11" r:id="rId3"/>
    <sheet name="Прил4 Дот.обл.16-18" sheetId="13" r:id="rId4"/>
    <sheet name="Пр.5 Дотац.РМР 2016-18" sheetId="15" r:id="rId5"/>
    <sheet name="Пр.6 иные МБТ 2016-18" sheetId="14" r:id="rId6"/>
  </sheets>
  <calcPr calcId="114210"/>
</workbook>
</file>

<file path=xl/calcChain.xml><?xml version="1.0" encoding="utf-8"?>
<calcChain xmlns="http://schemas.openxmlformats.org/spreadsheetml/2006/main">
  <c r="D16" i="14"/>
  <c r="C16"/>
  <c r="B18"/>
  <c r="B16"/>
  <c r="D21"/>
  <c r="C21"/>
  <c r="B21"/>
  <c r="D20" i="15"/>
  <c r="D19"/>
  <c r="D18"/>
  <c r="D17"/>
  <c r="D15"/>
  <c r="C20"/>
  <c r="C19"/>
  <c r="C18"/>
  <c r="C15"/>
  <c r="B20"/>
  <c r="B19"/>
  <c r="B18"/>
  <c r="B17"/>
  <c r="B15"/>
  <c r="C17"/>
  <c r="D21"/>
  <c r="C21"/>
  <c r="B21"/>
  <c r="F27" i="12"/>
  <c r="E26"/>
  <c r="E27"/>
  <c r="M294" i="10"/>
  <c r="M275"/>
  <c r="M192"/>
  <c r="F46" i="11"/>
  <c r="L192" i="10"/>
  <c r="F33" i="12"/>
  <c r="E33"/>
  <c r="D33"/>
  <c r="F56" i="11"/>
  <c r="E56"/>
  <c r="D56"/>
  <c r="C20" i="13"/>
  <c r="C19"/>
  <c r="C18"/>
  <c r="C17"/>
  <c r="C16"/>
  <c r="C15"/>
  <c r="B20"/>
  <c r="B19"/>
  <c r="B18"/>
  <c r="B17"/>
  <c r="B16"/>
  <c r="B15"/>
  <c r="B14"/>
  <c r="B21"/>
  <c r="D20"/>
  <c r="D19"/>
  <c r="D18"/>
  <c r="D17"/>
  <c r="D16"/>
  <c r="D15"/>
  <c r="D14"/>
  <c r="D21"/>
  <c r="C21"/>
  <c r="D27" i="12"/>
  <c r="D26"/>
  <c r="E30"/>
  <c r="D30"/>
  <c r="D21"/>
  <c r="F20"/>
  <c r="E20"/>
  <c r="D20"/>
  <c r="D16"/>
  <c r="F16"/>
  <c r="E16"/>
  <c r="E21" i="11"/>
  <c r="M146" i="10"/>
  <c r="L146"/>
  <c r="F30" i="12"/>
  <c r="F29"/>
  <c r="D29"/>
  <c r="E29"/>
  <c r="E28"/>
  <c r="F28"/>
  <c r="D28"/>
  <c r="F26"/>
  <c r="F25"/>
  <c r="E25"/>
  <c r="D25"/>
  <c r="F24"/>
  <c r="E24"/>
  <c r="F23"/>
  <c r="D23"/>
  <c r="F18"/>
  <c r="E18"/>
  <c r="E14"/>
  <c r="E49" i="11"/>
  <c r="D49"/>
  <c r="D46"/>
  <c r="D45"/>
  <c r="M59" i="10"/>
  <c r="L59"/>
  <c r="D31" i="11"/>
  <c r="D21"/>
  <c r="F39"/>
  <c r="E39"/>
  <c r="D39"/>
  <c r="F37"/>
  <c r="E37"/>
  <c r="E23" i="12"/>
  <c r="D14"/>
  <c r="D22"/>
  <c r="F14"/>
  <c r="D37" i="11"/>
  <c r="F30"/>
  <c r="E30"/>
  <c r="D30"/>
  <c r="F28"/>
  <c r="E28"/>
  <c r="D28"/>
  <c r="E25"/>
  <c r="D25"/>
  <c r="D23"/>
  <c r="F23"/>
  <c r="E23"/>
  <c r="D27"/>
  <c r="F27"/>
  <c r="E27"/>
  <c r="F26"/>
  <c r="E26"/>
  <c r="D26"/>
  <c r="E22"/>
  <c r="D22"/>
  <c r="F16"/>
  <c r="E16"/>
  <c r="D16"/>
  <c r="M522" i="10"/>
  <c r="L522"/>
  <c r="F54" i="11"/>
  <c r="E54"/>
  <c r="D54"/>
  <c r="F47"/>
  <c r="E47"/>
  <c r="D47"/>
  <c r="F45"/>
  <c r="E44"/>
  <c r="F44"/>
  <c r="D44"/>
  <c r="F42"/>
  <c r="D42"/>
  <c r="F25"/>
  <c r="F36"/>
  <c r="F35"/>
  <c r="F33"/>
  <c r="E36"/>
  <c r="E35"/>
  <c r="E33"/>
  <c r="D36"/>
  <c r="D35"/>
  <c r="D33"/>
  <c r="F22"/>
  <c r="F21"/>
  <c r="F19"/>
  <c r="D19"/>
  <c r="D14"/>
  <c r="D41"/>
  <c r="E19"/>
  <c r="E14"/>
  <c r="F18"/>
  <c r="E18"/>
  <c r="F14"/>
  <c r="M29" i="10"/>
  <c r="L29"/>
  <c r="M519"/>
  <c r="L519"/>
  <c r="M485"/>
  <c r="L485"/>
  <c r="M473"/>
  <c r="L473"/>
  <c r="M470"/>
  <c r="L470"/>
  <c r="M306"/>
  <c r="L306"/>
  <c r="M303"/>
  <c r="L303"/>
  <c r="M300"/>
  <c r="L300"/>
  <c r="M478"/>
  <c r="L478"/>
  <c r="M284"/>
  <c r="L284"/>
  <c r="M281"/>
  <c r="L281"/>
  <c r="M166"/>
  <c r="L166"/>
  <c r="M200"/>
  <c r="L200"/>
  <c r="M161"/>
  <c r="L161"/>
  <c r="M156"/>
  <c r="L156"/>
  <c r="M151"/>
  <c r="L151"/>
  <c r="M117"/>
  <c r="L117"/>
  <c r="M115"/>
  <c r="L115"/>
  <c r="M81"/>
  <c r="L81"/>
  <c r="M83"/>
  <c r="L83"/>
  <c r="M56"/>
  <c r="L56"/>
  <c r="M101"/>
  <c r="L101"/>
  <c r="M40"/>
  <c r="M39"/>
  <c r="M38"/>
  <c r="M37"/>
  <c r="M36"/>
  <c r="M35"/>
  <c r="L40"/>
  <c r="K15"/>
  <c r="M34"/>
  <c r="L34"/>
  <c r="K34"/>
  <c r="L39"/>
  <c r="L38"/>
  <c r="L37"/>
  <c r="L36"/>
  <c r="L35"/>
  <c r="K40"/>
  <c r="K39"/>
  <c r="K38"/>
  <c r="K37"/>
  <c r="K36"/>
  <c r="K35"/>
  <c r="M556"/>
  <c r="M554"/>
  <c r="M546"/>
  <c r="M544"/>
  <c r="M539"/>
  <c r="M536"/>
  <c r="M534"/>
  <c r="M529"/>
  <c r="M516"/>
  <c r="M513"/>
  <c r="M508"/>
  <c r="M505"/>
  <c r="M497"/>
  <c r="M494"/>
  <c r="M465"/>
  <c r="M462"/>
  <c r="M460"/>
  <c r="M456"/>
  <c r="M448"/>
  <c r="M443"/>
  <c r="M438"/>
  <c r="M434"/>
  <c r="M429"/>
  <c r="M425"/>
  <c r="M421"/>
  <c r="M417"/>
  <c r="M412"/>
  <c r="M408"/>
  <c r="M404"/>
  <c r="M400"/>
  <c r="M396"/>
  <c r="M392"/>
  <c r="M388"/>
  <c r="M383"/>
  <c r="M379"/>
  <c r="M375"/>
  <c r="M371"/>
  <c r="M367"/>
  <c r="M363"/>
  <c r="M359"/>
  <c r="M355"/>
  <c r="M351"/>
  <c r="M347"/>
  <c r="M343"/>
  <c r="M338"/>
  <c r="M331"/>
  <c r="M326"/>
  <c r="M324"/>
  <c r="M320"/>
  <c r="M314"/>
  <c r="M311"/>
  <c r="M297"/>
  <c r="M278"/>
  <c r="M266"/>
  <c r="M264"/>
  <c r="M256"/>
  <c r="M253"/>
  <c r="M251"/>
  <c r="M243"/>
  <c r="M241"/>
  <c r="M230"/>
  <c r="M217"/>
  <c r="M215"/>
  <c r="M209"/>
  <c r="M207"/>
  <c r="M184"/>
  <c r="M180"/>
  <c r="M172"/>
  <c r="M141"/>
  <c r="M138"/>
  <c r="M136"/>
  <c r="M133"/>
  <c r="M125"/>
  <c r="M93"/>
  <c r="M87"/>
  <c r="M78"/>
  <c r="M75"/>
  <c r="M73"/>
  <c r="M49"/>
  <c r="M46"/>
  <c r="M26"/>
  <c r="M23"/>
  <c r="M21"/>
  <c r="L556"/>
  <c r="L554"/>
  <c r="L546"/>
  <c r="L544"/>
  <c r="L539"/>
  <c r="L536"/>
  <c r="L534"/>
  <c r="L529"/>
  <c r="L516"/>
  <c r="L513"/>
  <c r="L508"/>
  <c r="L505"/>
  <c r="L497"/>
  <c r="L494"/>
  <c r="L465"/>
  <c r="L462"/>
  <c r="L460"/>
  <c r="L456"/>
  <c r="L448"/>
  <c r="L443"/>
  <c r="L438"/>
  <c r="L434"/>
  <c r="L429"/>
  <c r="L425"/>
  <c r="L421"/>
  <c r="L417"/>
  <c r="L412"/>
  <c r="L408"/>
  <c r="L404"/>
  <c r="L400"/>
  <c r="L396"/>
  <c r="L392"/>
  <c r="L388"/>
  <c r="L383"/>
  <c r="L379"/>
  <c r="L375"/>
  <c r="L371"/>
  <c r="L367"/>
  <c r="L363"/>
  <c r="L359"/>
  <c r="L355"/>
  <c r="L351"/>
  <c r="L347"/>
  <c r="L343"/>
  <c r="L338"/>
  <c r="L331"/>
  <c r="L326"/>
  <c r="L324"/>
  <c r="L320"/>
  <c r="L314"/>
  <c r="L311"/>
  <c r="L297"/>
  <c r="L294"/>
  <c r="L278"/>
  <c r="L275"/>
  <c r="L266"/>
  <c r="L264"/>
  <c r="L256"/>
  <c r="L253"/>
  <c r="L251"/>
  <c r="L243"/>
  <c r="L241"/>
  <c r="L238"/>
  <c r="L230"/>
  <c r="L217"/>
  <c r="L215"/>
  <c r="L209"/>
  <c r="L207"/>
  <c r="L184"/>
  <c r="L180"/>
  <c r="L172"/>
  <c r="L141"/>
  <c r="L138"/>
  <c r="L136"/>
  <c r="L133"/>
  <c r="L125"/>
  <c r="L93"/>
  <c r="L87"/>
  <c r="L78"/>
  <c r="L75"/>
  <c r="L73"/>
  <c r="L49"/>
  <c r="L46"/>
  <c r="L26"/>
  <c r="L23"/>
  <c r="L21"/>
  <c r="M555"/>
  <c r="M553"/>
  <c r="M552"/>
  <c r="M551"/>
  <c r="M550"/>
  <c r="M549"/>
  <c r="M548"/>
  <c r="M547"/>
  <c r="M545"/>
  <c r="M543"/>
  <c r="M542"/>
  <c r="M541"/>
  <c r="M540"/>
  <c r="M538"/>
  <c r="M537"/>
  <c r="M535"/>
  <c r="M533"/>
  <c r="M532"/>
  <c r="M531"/>
  <c r="M530"/>
  <c r="M528"/>
  <c r="M527"/>
  <c r="M526"/>
  <c r="M525"/>
  <c r="M524"/>
  <c r="M521"/>
  <c r="M520"/>
  <c r="M518"/>
  <c r="M517"/>
  <c r="M515"/>
  <c r="M514"/>
  <c r="M512"/>
  <c r="M511"/>
  <c r="M507"/>
  <c r="M506"/>
  <c r="M504"/>
  <c r="M503"/>
  <c r="M496"/>
  <c r="M495"/>
  <c r="M493"/>
  <c r="M492"/>
  <c r="M484"/>
  <c r="M483"/>
  <c r="M482"/>
  <c r="M481"/>
  <c r="M480"/>
  <c r="M479"/>
  <c r="M477"/>
  <c r="M476"/>
  <c r="M475"/>
  <c r="M474"/>
  <c r="M472"/>
  <c r="M471"/>
  <c r="M469"/>
  <c r="M468"/>
  <c r="M467"/>
  <c r="M464"/>
  <c r="M463"/>
  <c r="M461"/>
  <c r="M459"/>
  <c r="M455"/>
  <c r="M454"/>
  <c r="M453"/>
  <c r="M452"/>
  <c r="M449"/>
  <c r="M447"/>
  <c r="M442"/>
  <c r="M441"/>
  <c r="M440"/>
  <c r="M439"/>
  <c r="M437"/>
  <c r="M436"/>
  <c r="M435"/>
  <c r="M433"/>
  <c r="M432"/>
  <c r="M431"/>
  <c r="M428"/>
  <c r="M427"/>
  <c r="M426"/>
  <c r="M424"/>
  <c r="M423"/>
  <c r="M422"/>
  <c r="M420"/>
  <c r="M419"/>
  <c r="M418"/>
  <c r="M416"/>
  <c r="M415"/>
  <c r="M414"/>
  <c r="M411"/>
  <c r="M410"/>
  <c r="M409"/>
  <c r="M407"/>
  <c r="M406"/>
  <c r="M405"/>
  <c r="M403"/>
  <c r="M402"/>
  <c r="M401"/>
  <c r="M399"/>
  <c r="M398"/>
  <c r="M397"/>
  <c r="M395"/>
  <c r="M394"/>
  <c r="M393"/>
  <c r="M391"/>
  <c r="M390"/>
  <c r="M389"/>
  <c r="M387"/>
  <c r="M386"/>
  <c r="M385"/>
  <c r="M382"/>
  <c r="M381"/>
  <c r="M380"/>
  <c r="M378"/>
  <c r="M377"/>
  <c r="M376"/>
  <c r="M374"/>
  <c r="M373"/>
  <c r="M372"/>
  <c r="M370"/>
  <c r="M369"/>
  <c r="M368"/>
  <c r="M366"/>
  <c r="M365"/>
  <c r="M364"/>
  <c r="M362"/>
  <c r="M361"/>
  <c r="M360"/>
  <c r="M358"/>
  <c r="M357"/>
  <c r="M356"/>
  <c r="M354"/>
  <c r="M353"/>
  <c r="M352"/>
  <c r="M350"/>
  <c r="M349"/>
  <c r="M348"/>
  <c r="M346"/>
  <c r="M345"/>
  <c r="M344"/>
  <c r="M342"/>
  <c r="M341"/>
  <c r="M340"/>
  <c r="M337"/>
  <c r="M336"/>
  <c r="M335"/>
  <c r="M334"/>
  <c r="M330"/>
  <c r="M329"/>
  <c r="M328"/>
  <c r="M327"/>
  <c r="M325"/>
  <c r="M323"/>
  <c r="M319"/>
  <c r="M318"/>
  <c r="M317"/>
  <c r="M313"/>
  <c r="M312"/>
  <c r="M310"/>
  <c r="M309"/>
  <c r="M305"/>
  <c r="M304"/>
  <c r="M302"/>
  <c r="M301"/>
  <c r="M299"/>
  <c r="M298"/>
  <c r="M296"/>
  <c r="M295"/>
  <c r="M293"/>
  <c r="M292"/>
  <c r="M287"/>
  <c r="M286"/>
  <c r="M285"/>
  <c r="M283"/>
  <c r="M282"/>
  <c r="M280"/>
  <c r="M279"/>
  <c r="M277"/>
  <c r="M276"/>
  <c r="M274"/>
  <c r="M273"/>
  <c r="M265"/>
  <c r="M263"/>
  <c r="M255"/>
  <c r="M254"/>
  <c r="M252"/>
  <c r="M250"/>
  <c r="M249"/>
  <c r="M248"/>
  <c r="M247"/>
  <c r="M246"/>
  <c r="M245"/>
  <c r="M244"/>
  <c r="M242"/>
  <c r="M240"/>
  <c r="M238"/>
  <c r="M237"/>
  <c r="M236"/>
  <c r="M229"/>
  <c r="M228"/>
  <c r="M227"/>
  <c r="M226"/>
  <c r="M225"/>
  <c r="M224"/>
  <c r="M223"/>
  <c r="M222"/>
  <c r="M221"/>
  <c r="M220"/>
  <c r="M219"/>
  <c r="M218"/>
  <c r="M216"/>
  <c r="M214"/>
  <c r="M208"/>
  <c r="M206"/>
  <c r="M199"/>
  <c r="M198"/>
  <c r="M197"/>
  <c r="M196"/>
  <c r="M195"/>
  <c r="M194"/>
  <c r="M193"/>
  <c r="M191"/>
  <c r="M190"/>
  <c r="M183"/>
  <c r="M182"/>
  <c r="M181"/>
  <c r="M179"/>
  <c r="M178"/>
  <c r="M177"/>
  <c r="M171"/>
  <c r="M170"/>
  <c r="M169"/>
  <c r="M168"/>
  <c r="M167"/>
  <c r="M165"/>
  <c r="M164"/>
  <c r="M163"/>
  <c r="M162"/>
  <c r="M160"/>
  <c r="M159"/>
  <c r="M158"/>
  <c r="M157"/>
  <c r="M155"/>
  <c r="M154"/>
  <c r="M153"/>
  <c r="M152"/>
  <c r="M150"/>
  <c r="M149"/>
  <c r="M148"/>
  <c r="M147"/>
  <c r="M145"/>
  <c r="M144"/>
  <c r="M143"/>
  <c r="M140"/>
  <c r="M139"/>
  <c r="M137"/>
  <c r="M135"/>
  <c r="M132"/>
  <c r="M131"/>
  <c r="M124"/>
  <c r="M123"/>
  <c r="M122"/>
  <c r="M116"/>
  <c r="M114"/>
  <c r="M107"/>
  <c r="M106"/>
  <c r="M105"/>
  <c r="M104"/>
  <c r="M103"/>
  <c r="M102"/>
  <c r="M100"/>
  <c r="M99"/>
  <c r="M98"/>
  <c r="M97"/>
  <c r="M96"/>
  <c r="M95"/>
  <c r="M94"/>
  <c r="M92"/>
  <c r="M91"/>
  <c r="M90"/>
  <c r="M89"/>
  <c r="M88"/>
  <c r="M86"/>
  <c r="M85"/>
  <c r="M84"/>
  <c r="M82"/>
  <c r="M80"/>
  <c r="M77"/>
  <c r="M76"/>
  <c r="M74"/>
  <c r="M72"/>
  <c r="M65"/>
  <c r="M64"/>
  <c r="M63"/>
  <c r="M62"/>
  <c r="M61"/>
  <c r="M60"/>
  <c r="M58"/>
  <c r="M57"/>
  <c r="M55"/>
  <c r="M54"/>
  <c r="M48"/>
  <c r="M47"/>
  <c r="M45"/>
  <c r="M44"/>
  <c r="M33"/>
  <c r="M32"/>
  <c r="M31"/>
  <c r="M30"/>
  <c r="M28"/>
  <c r="M27"/>
  <c r="M25"/>
  <c r="M24"/>
  <c r="M22"/>
  <c r="M20"/>
  <c r="L555"/>
  <c r="L553"/>
  <c r="L545"/>
  <c r="L543"/>
  <c r="L538"/>
  <c r="L537"/>
  <c r="L535"/>
  <c r="L533"/>
  <c r="L528"/>
  <c r="L527"/>
  <c r="L526"/>
  <c r="L525"/>
  <c r="L524"/>
  <c r="L521"/>
  <c r="L520"/>
  <c r="L518"/>
  <c r="L517"/>
  <c r="L515"/>
  <c r="L514"/>
  <c r="L512"/>
  <c r="L511"/>
  <c r="L507"/>
  <c r="L506"/>
  <c r="L504"/>
  <c r="L503"/>
  <c r="L496"/>
  <c r="L495"/>
  <c r="L493"/>
  <c r="L492"/>
  <c r="L484"/>
  <c r="L483"/>
  <c r="L482"/>
  <c r="L481"/>
  <c r="L480"/>
  <c r="L479"/>
  <c r="L477"/>
  <c r="L476"/>
  <c r="L475"/>
  <c r="L472"/>
  <c r="L471"/>
  <c r="L469"/>
  <c r="L468"/>
  <c r="L467"/>
  <c r="L464"/>
  <c r="L463"/>
  <c r="L461"/>
  <c r="L459"/>
  <c r="L455"/>
  <c r="L454"/>
  <c r="L453"/>
  <c r="L452"/>
  <c r="L449"/>
  <c r="L447"/>
  <c r="L442"/>
  <c r="L441"/>
  <c r="L440"/>
  <c r="L439"/>
  <c r="L437"/>
  <c r="L436"/>
  <c r="L435"/>
  <c r="L433"/>
  <c r="L432"/>
  <c r="L431"/>
  <c r="L428"/>
  <c r="L427"/>
  <c r="L426"/>
  <c r="L424"/>
  <c r="L423"/>
  <c r="L422"/>
  <c r="L420"/>
  <c r="L419"/>
  <c r="L418"/>
  <c r="L416"/>
  <c r="L415"/>
  <c r="L414"/>
  <c r="L411"/>
  <c r="L410"/>
  <c r="L409"/>
  <c r="L407"/>
  <c r="L406"/>
  <c r="L405"/>
  <c r="L403"/>
  <c r="L402"/>
  <c r="L401"/>
  <c r="L399"/>
  <c r="L398"/>
  <c r="L397"/>
  <c r="L395"/>
  <c r="L394"/>
  <c r="L393"/>
  <c r="L391"/>
  <c r="L390"/>
  <c r="L389"/>
  <c r="L387"/>
  <c r="L386"/>
  <c r="L385"/>
  <c r="L382"/>
  <c r="L381"/>
  <c r="L380"/>
  <c r="L378"/>
  <c r="L377"/>
  <c r="L376"/>
  <c r="L374"/>
  <c r="L373"/>
  <c r="L372"/>
  <c r="L370"/>
  <c r="L369"/>
  <c r="L368"/>
  <c r="L366"/>
  <c r="L365"/>
  <c r="L364"/>
  <c r="L362"/>
  <c r="L361"/>
  <c r="L360"/>
  <c r="L358"/>
  <c r="L357"/>
  <c r="L356"/>
  <c r="L354"/>
  <c r="L353"/>
  <c r="L352"/>
  <c r="L350"/>
  <c r="L349"/>
  <c r="L348"/>
  <c r="L346"/>
  <c r="L345"/>
  <c r="L344"/>
  <c r="L342"/>
  <c r="L341"/>
  <c r="L340"/>
  <c r="L337"/>
  <c r="L336"/>
  <c r="L335"/>
  <c r="L334"/>
  <c r="L330"/>
  <c r="L329"/>
  <c r="L328"/>
  <c r="L327"/>
  <c r="L325"/>
  <c r="L323"/>
  <c r="L319"/>
  <c r="L318"/>
  <c r="L317"/>
  <c r="L313"/>
  <c r="L312"/>
  <c r="L310"/>
  <c r="L309"/>
  <c r="L305"/>
  <c r="L304"/>
  <c r="L302"/>
  <c r="L301"/>
  <c r="L299"/>
  <c r="L298"/>
  <c r="L296"/>
  <c r="L295"/>
  <c r="L293"/>
  <c r="L292"/>
  <c r="L287"/>
  <c r="L286"/>
  <c r="L285"/>
  <c r="L283"/>
  <c r="L282"/>
  <c r="L280"/>
  <c r="L279"/>
  <c r="L277"/>
  <c r="L276"/>
  <c r="L274"/>
  <c r="L273"/>
  <c r="L272"/>
  <c r="L265"/>
  <c r="L263"/>
  <c r="L255"/>
  <c r="L254"/>
  <c r="L252"/>
  <c r="L250"/>
  <c r="L242"/>
  <c r="L240"/>
  <c r="L237"/>
  <c r="L236"/>
  <c r="L229"/>
  <c r="L228"/>
  <c r="L227"/>
  <c r="L226"/>
  <c r="L225"/>
  <c r="L224"/>
  <c r="L223"/>
  <c r="L222"/>
  <c r="L221"/>
  <c r="L220"/>
  <c r="L219"/>
  <c r="L218"/>
  <c r="L216"/>
  <c r="L214"/>
  <c r="L208"/>
  <c r="L206"/>
  <c r="L199"/>
  <c r="L198"/>
  <c r="L197"/>
  <c r="L196"/>
  <c r="L195"/>
  <c r="L194"/>
  <c r="L193"/>
  <c r="L191"/>
  <c r="L190"/>
  <c r="L189"/>
  <c r="L183"/>
  <c r="L182"/>
  <c r="L181"/>
  <c r="L179"/>
  <c r="L178"/>
  <c r="L177"/>
  <c r="L171"/>
  <c r="L170"/>
  <c r="L169"/>
  <c r="L168"/>
  <c r="L167"/>
  <c r="L165"/>
  <c r="L164"/>
  <c r="L163"/>
  <c r="L160"/>
  <c r="L159"/>
  <c r="L158"/>
  <c r="L155"/>
  <c r="L154"/>
  <c r="L153"/>
  <c r="L152"/>
  <c r="L150"/>
  <c r="L149"/>
  <c r="L148"/>
  <c r="L147"/>
  <c r="L145"/>
  <c r="L144"/>
  <c r="L143"/>
  <c r="L142"/>
  <c r="L140"/>
  <c r="L139"/>
  <c r="L137"/>
  <c r="L135"/>
  <c r="L132"/>
  <c r="L131"/>
  <c r="L124"/>
  <c r="L123"/>
  <c r="L122"/>
  <c r="L116"/>
  <c r="L114"/>
  <c r="L113"/>
  <c r="L112"/>
  <c r="L111"/>
  <c r="L110"/>
  <c r="L109"/>
  <c r="L107"/>
  <c r="L106"/>
  <c r="L105"/>
  <c r="L104"/>
  <c r="L103"/>
  <c r="L102"/>
  <c r="L100"/>
  <c r="L99"/>
  <c r="L98"/>
  <c r="L97"/>
  <c r="L96"/>
  <c r="L95"/>
  <c r="L94"/>
  <c r="L92"/>
  <c r="L91"/>
  <c r="L90"/>
  <c r="L89"/>
  <c r="L88"/>
  <c r="L86"/>
  <c r="L85"/>
  <c r="L84"/>
  <c r="L82"/>
  <c r="L80"/>
  <c r="L79"/>
  <c r="L77"/>
  <c r="L76"/>
  <c r="L74"/>
  <c r="L72"/>
  <c r="L65"/>
  <c r="L64"/>
  <c r="L63"/>
  <c r="L62"/>
  <c r="L61"/>
  <c r="L60"/>
  <c r="L58"/>
  <c r="L57"/>
  <c r="L561"/>
  <c r="L55"/>
  <c r="L54"/>
  <c r="L53"/>
  <c r="L52"/>
  <c r="L51"/>
  <c r="L48"/>
  <c r="L47"/>
  <c r="L45"/>
  <c r="L44"/>
  <c r="L33"/>
  <c r="L32"/>
  <c r="L31"/>
  <c r="L30"/>
  <c r="L28"/>
  <c r="L27"/>
  <c r="L25"/>
  <c r="L24"/>
  <c r="L22"/>
  <c r="L20"/>
  <c r="K556"/>
  <c r="K555"/>
  <c r="K554"/>
  <c r="K553"/>
  <c r="K552"/>
  <c r="K551"/>
  <c r="K550"/>
  <c r="K549"/>
  <c r="K548"/>
  <c r="K547"/>
  <c r="K546"/>
  <c r="K545"/>
  <c r="K544"/>
  <c r="K543"/>
  <c r="K539"/>
  <c r="K538"/>
  <c r="K537"/>
  <c r="K536"/>
  <c r="K535"/>
  <c r="K534"/>
  <c r="K533"/>
  <c r="K532"/>
  <c r="K529"/>
  <c r="K528"/>
  <c r="K527"/>
  <c r="K526"/>
  <c r="K525"/>
  <c r="K524"/>
  <c r="K522"/>
  <c r="K521"/>
  <c r="K520"/>
  <c r="K519"/>
  <c r="K518"/>
  <c r="K517"/>
  <c r="K516"/>
  <c r="K515"/>
  <c r="K514"/>
  <c r="K513"/>
  <c r="K512"/>
  <c r="K511"/>
  <c r="K510"/>
  <c r="K508"/>
  <c r="K507"/>
  <c r="K506"/>
  <c r="K505"/>
  <c r="K504"/>
  <c r="K503"/>
  <c r="K502"/>
  <c r="K501"/>
  <c r="K497"/>
  <c r="K496"/>
  <c r="K495"/>
  <c r="K494"/>
  <c r="K493"/>
  <c r="K492"/>
  <c r="K485"/>
  <c r="K484"/>
  <c r="K483"/>
  <c r="K482"/>
  <c r="K481"/>
  <c r="K480"/>
  <c r="K479"/>
  <c r="K478"/>
  <c r="K477"/>
  <c r="K476"/>
  <c r="K475"/>
  <c r="K473"/>
  <c r="K472"/>
  <c r="K471"/>
  <c r="K470"/>
  <c r="K469"/>
  <c r="K468"/>
  <c r="K467"/>
  <c r="K465"/>
  <c r="K464"/>
  <c r="K463"/>
  <c r="K462"/>
  <c r="K461"/>
  <c r="K460"/>
  <c r="K459"/>
  <c r="K456"/>
  <c r="K455"/>
  <c r="K454"/>
  <c r="K453"/>
  <c r="K452"/>
  <c r="K449"/>
  <c r="K447"/>
  <c r="K446"/>
  <c r="K445"/>
  <c r="K444"/>
  <c r="K443"/>
  <c r="K442"/>
  <c r="K441"/>
  <c r="K440"/>
  <c r="K439"/>
  <c r="K438"/>
  <c r="K437"/>
  <c r="K436"/>
  <c r="K435"/>
  <c r="K434"/>
  <c r="K433"/>
  <c r="K432"/>
  <c r="K431"/>
  <c r="K429"/>
  <c r="K428"/>
  <c r="K427"/>
  <c r="K426"/>
  <c r="K425"/>
  <c r="K424"/>
  <c r="K423"/>
  <c r="K422"/>
  <c r="K421"/>
  <c r="K420"/>
  <c r="K419"/>
  <c r="K418"/>
  <c r="K417"/>
  <c r="K416"/>
  <c r="K415"/>
  <c r="K414"/>
  <c r="K413"/>
  <c r="K412"/>
  <c r="K411"/>
  <c r="K410"/>
  <c r="K409"/>
  <c r="K408"/>
  <c r="K407"/>
  <c r="K406"/>
  <c r="K405"/>
  <c r="K404"/>
  <c r="K403"/>
  <c r="K402"/>
  <c r="K401"/>
  <c r="K400"/>
  <c r="K399"/>
  <c r="K398"/>
  <c r="K397"/>
  <c r="K396"/>
  <c r="K395"/>
  <c r="K394"/>
  <c r="K393"/>
  <c r="K392"/>
  <c r="K391"/>
  <c r="K390"/>
  <c r="K389"/>
  <c r="K388"/>
  <c r="K387"/>
  <c r="K386"/>
  <c r="K385"/>
  <c r="K383"/>
  <c r="K382"/>
  <c r="K381"/>
  <c r="K380"/>
  <c r="K379"/>
  <c r="K378"/>
  <c r="K377"/>
  <c r="K376"/>
  <c r="K375"/>
  <c r="K374"/>
  <c r="K373"/>
  <c r="K372"/>
  <c r="K371"/>
  <c r="K370"/>
  <c r="K369"/>
  <c r="K368"/>
  <c r="K367"/>
  <c r="K366"/>
  <c r="K365"/>
  <c r="K364"/>
  <c r="K363"/>
  <c r="K362"/>
  <c r="K361"/>
  <c r="K360"/>
  <c r="K359"/>
  <c r="K358"/>
  <c r="K357"/>
  <c r="K356"/>
  <c r="K355"/>
  <c r="K354"/>
  <c r="K353"/>
  <c r="K352"/>
  <c r="K351"/>
  <c r="K350"/>
  <c r="K349"/>
  <c r="K348"/>
  <c r="K347"/>
  <c r="K346"/>
  <c r="K345"/>
  <c r="K344"/>
  <c r="K343"/>
  <c r="K342"/>
  <c r="K341"/>
  <c r="K340"/>
  <c r="K338"/>
  <c r="K337"/>
  <c r="K336"/>
  <c r="K335"/>
  <c r="K334"/>
  <c r="K331"/>
  <c r="K330"/>
  <c r="K329"/>
  <c r="K328"/>
  <c r="K327"/>
  <c r="K326"/>
  <c r="K325"/>
  <c r="K324"/>
  <c r="K323"/>
  <c r="K320"/>
  <c r="K319"/>
  <c r="K318"/>
  <c r="K317"/>
  <c r="K314"/>
  <c r="K313"/>
  <c r="K312"/>
  <c r="K311"/>
  <c r="K310"/>
  <c r="K309"/>
  <c r="K308"/>
  <c r="K307"/>
  <c r="K306"/>
  <c r="K305"/>
  <c r="K304"/>
  <c r="K303"/>
  <c r="K302"/>
  <c r="K301"/>
  <c r="K300"/>
  <c r="K299"/>
  <c r="K298"/>
  <c r="K297"/>
  <c r="K296"/>
  <c r="K295"/>
  <c r="K294"/>
  <c r="K293"/>
  <c r="K292"/>
  <c r="K287"/>
  <c r="K286"/>
  <c r="K285"/>
  <c r="K284"/>
  <c r="K283"/>
  <c r="K282"/>
  <c r="K280"/>
  <c r="K279"/>
  <c r="K278"/>
  <c r="K277"/>
  <c r="K276"/>
  <c r="K275"/>
  <c r="K274"/>
  <c r="K273"/>
  <c r="K272"/>
  <c r="K266"/>
  <c r="K265"/>
  <c r="K264"/>
  <c r="K263"/>
  <c r="K262"/>
  <c r="K261"/>
  <c r="K260"/>
  <c r="K259"/>
  <c r="K258"/>
  <c r="K257"/>
  <c r="K256"/>
  <c r="K255"/>
  <c r="K254"/>
  <c r="K253"/>
  <c r="K252"/>
  <c r="K251"/>
  <c r="K250"/>
  <c r="K249"/>
  <c r="K248"/>
  <c r="K247"/>
  <c r="K246"/>
  <c r="K245"/>
  <c r="K244"/>
  <c r="K243"/>
  <c r="K242"/>
  <c r="K241"/>
  <c r="K240"/>
  <c r="K239"/>
  <c r="K238"/>
  <c r="K237"/>
  <c r="K236"/>
  <c r="K230"/>
  <c r="K229"/>
  <c r="K228"/>
  <c r="K227"/>
  <c r="K226"/>
  <c r="K225"/>
  <c r="K224"/>
  <c r="K223"/>
  <c r="K222"/>
  <c r="K221"/>
  <c r="K220"/>
  <c r="K219"/>
  <c r="K218"/>
  <c r="K217"/>
  <c r="K216"/>
  <c r="K215"/>
  <c r="K214"/>
  <c r="K209"/>
  <c r="K208"/>
  <c r="K207"/>
  <c r="K206"/>
  <c r="K200"/>
  <c r="K199"/>
  <c r="K198"/>
  <c r="K197"/>
  <c r="K196"/>
  <c r="K195"/>
  <c r="K194"/>
  <c r="K193"/>
  <c r="K559"/>
  <c r="K192"/>
  <c r="K191"/>
  <c r="K190"/>
  <c r="K189"/>
  <c r="K184"/>
  <c r="K183"/>
  <c r="K182"/>
  <c r="K181"/>
  <c r="K180"/>
  <c r="K179"/>
  <c r="K178"/>
  <c r="K177"/>
  <c r="K172"/>
  <c r="K171"/>
  <c r="K170"/>
  <c r="K169"/>
  <c r="K168"/>
  <c r="K167"/>
  <c r="K166"/>
  <c r="K165"/>
  <c r="K164"/>
  <c r="K163"/>
  <c r="K162"/>
  <c r="K161"/>
  <c r="K160"/>
  <c r="K159"/>
  <c r="K158"/>
  <c r="K157"/>
  <c r="K156"/>
  <c r="K155"/>
  <c r="K154"/>
  <c r="K153"/>
  <c r="K152"/>
  <c r="K151"/>
  <c r="K150"/>
  <c r="K149"/>
  <c r="K148"/>
  <c r="K146"/>
  <c r="K145"/>
  <c r="K144"/>
  <c r="K143"/>
  <c r="K142"/>
  <c r="K141"/>
  <c r="K140"/>
  <c r="K139"/>
  <c r="K138"/>
  <c r="K137"/>
  <c r="K136"/>
  <c r="K135"/>
  <c r="K133"/>
  <c r="K132"/>
  <c r="K131"/>
  <c r="K125"/>
  <c r="K124"/>
  <c r="K123"/>
  <c r="K122"/>
  <c r="K117"/>
  <c r="K116"/>
  <c r="K115"/>
  <c r="K114"/>
  <c r="K108"/>
  <c r="K107"/>
  <c r="K106"/>
  <c r="K105"/>
  <c r="K104"/>
  <c r="K103"/>
  <c r="K102"/>
  <c r="K101"/>
  <c r="K100"/>
  <c r="K99"/>
  <c r="K98"/>
  <c r="K97"/>
  <c r="K96"/>
  <c r="K95"/>
  <c r="K94"/>
  <c r="K93"/>
  <c r="K92"/>
  <c r="K91"/>
  <c r="K90"/>
  <c r="K89"/>
  <c r="K88"/>
  <c r="K87"/>
  <c r="K86"/>
  <c r="K85"/>
  <c r="K84"/>
  <c r="K83"/>
  <c r="K82"/>
  <c r="K81"/>
  <c r="K80"/>
  <c r="K78"/>
  <c r="K77"/>
  <c r="K76"/>
  <c r="K75"/>
  <c r="K74"/>
  <c r="K73"/>
  <c r="K72"/>
  <c r="K65"/>
  <c r="K64"/>
  <c r="K59"/>
  <c r="K58"/>
  <c r="K56"/>
  <c r="K55"/>
  <c r="K49"/>
  <c r="K48"/>
  <c r="K47"/>
  <c r="K46"/>
  <c r="K45"/>
  <c r="K44"/>
  <c r="K33"/>
  <c r="K32"/>
  <c r="K31"/>
  <c r="K30"/>
  <c r="K29"/>
  <c r="K28"/>
  <c r="K27"/>
  <c r="K26"/>
  <c r="K25"/>
  <c r="K24"/>
  <c r="K23"/>
  <c r="K22"/>
  <c r="K21"/>
  <c r="K20"/>
  <c r="K19"/>
  <c r="K18"/>
  <c r="M142"/>
  <c r="E42" i="11"/>
  <c r="L162" i="10"/>
  <c r="L157"/>
  <c r="M113"/>
  <c r="M112"/>
  <c r="M111"/>
  <c r="M110"/>
  <c r="M109"/>
  <c r="M79"/>
  <c r="K134"/>
  <c r="K54"/>
  <c r="K57"/>
  <c r="K53"/>
  <c r="K52"/>
  <c r="K51"/>
  <c r="K79"/>
  <c r="K113"/>
  <c r="K112"/>
  <c r="K111"/>
  <c r="K110"/>
  <c r="K109"/>
  <c r="K531"/>
  <c r="K530"/>
  <c r="K523"/>
  <c r="K542"/>
  <c r="K541"/>
  <c r="K540"/>
  <c r="L559"/>
  <c r="K339"/>
  <c r="M53"/>
  <c r="M52"/>
  <c r="M51"/>
  <c r="M50"/>
  <c r="M559"/>
  <c r="K176"/>
  <c r="K175"/>
  <c r="K174"/>
  <c r="K173"/>
  <c r="K235"/>
  <c r="K234"/>
  <c r="K233"/>
  <c r="K232"/>
  <c r="K231"/>
  <c r="L466"/>
  <c r="K509"/>
  <c r="M466"/>
  <c r="M560"/>
  <c r="M561"/>
  <c r="K43"/>
  <c r="K42"/>
  <c r="K41"/>
  <c r="K71"/>
  <c r="K70"/>
  <c r="K69"/>
  <c r="K68"/>
  <c r="K67"/>
  <c r="K66"/>
  <c r="K147"/>
  <c r="K205"/>
  <c r="K204"/>
  <c r="K203"/>
  <c r="K202"/>
  <c r="K213"/>
  <c r="K212"/>
  <c r="K211"/>
  <c r="K210"/>
  <c r="K291"/>
  <c r="K322"/>
  <c r="K321"/>
  <c r="K316"/>
  <c r="K315"/>
  <c r="K384"/>
  <c r="L71"/>
  <c r="L70"/>
  <c r="L69"/>
  <c r="L474"/>
  <c r="M71"/>
  <c r="M189"/>
  <c r="M272"/>
  <c r="M271"/>
  <c r="M523"/>
  <c r="M510"/>
  <c r="M509"/>
  <c r="M491"/>
  <c r="M490"/>
  <c r="M458"/>
  <c r="M430"/>
  <c r="M384"/>
  <c r="M339"/>
  <c r="M322"/>
  <c r="M321"/>
  <c r="M308"/>
  <c r="M307"/>
  <c r="M291"/>
  <c r="M290"/>
  <c r="M262"/>
  <c r="M261"/>
  <c r="M260"/>
  <c r="M259"/>
  <c r="M258"/>
  <c r="M257"/>
  <c r="M213"/>
  <c r="M212"/>
  <c r="M211"/>
  <c r="M210"/>
  <c r="M205"/>
  <c r="M204"/>
  <c r="M203"/>
  <c r="M202"/>
  <c r="M176"/>
  <c r="M175"/>
  <c r="M174"/>
  <c r="M173"/>
  <c r="M70"/>
  <c r="M69"/>
  <c r="M68"/>
  <c r="M67"/>
  <c r="M66"/>
  <c r="L552"/>
  <c r="L551"/>
  <c r="L550"/>
  <c r="L549"/>
  <c r="L548"/>
  <c r="L547"/>
  <c r="L542"/>
  <c r="L541"/>
  <c r="L540"/>
  <c r="L532"/>
  <c r="L531"/>
  <c r="L530"/>
  <c r="L510"/>
  <c r="L509"/>
  <c r="L491"/>
  <c r="L490"/>
  <c r="L458"/>
  <c r="M446"/>
  <c r="M445"/>
  <c r="M444"/>
  <c r="L446"/>
  <c r="L445"/>
  <c r="L444"/>
  <c r="L430"/>
  <c r="L413"/>
  <c r="L384"/>
  <c r="L339"/>
  <c r="L322"/>
  <c r="L321"/>
  <c r="L308"/>
  <c r="L307"/>
  <c r="L291"/>
  <c r="L262"/>
  <c r="L261"/>
  <c r="L260"/>
  <c r="L259"/>
  <c r="L258"/>
  <c r="L257"/>
  <c r="L249"/>
  <c r="L248"/>
  <c r="L247"/>
  <c r="L246"/>
  <c r="L245"/>
  <c r="L244"/>
  <c r="M239"/>
  <c r="L239"/>
  <c r="L235"/>
  <c r="L234"/>
  <c r="L233"/>
  <c r="L232"/>
  <c r="L231"/>
  <c r="L213"/>
  <c r="L212"/>
  <c r="L211"/>
  <c r="L210"/>
  <c r="L205"/>
  <c r="L204"/>
  <c r="L203"/>
  <c r="L202"/>
  <c r="L176"/>
  <c r="L175"/>
  <c r="L174"/>
  <c r="L173"/>
  <c r="M134"/>
  <c r="L134"/>
  <c r="M130"/>
  <c r="M129"/>
  <c r="M128"/>
  <c r="M127"/>
  <c r="L130"/>
  <c r="L129"/>
  <c r="L128"/>
  <c r="L127"/>
  <c r="L68"/>
  <c r="L67"/>
  <c r="L66"/>
  <c r="L43"/>
  <c r="L42"/>
  <c r="L41"/>
  <c r="M19"/>
  <c r="M18"/>
  <c r="M121"/>
  <c r="M120"/>
  <c r="M119"/>
  <c r="M118"/>
  <c r="M43"/>
  <c r="M42"/>
  <c r="M41"/>
  <c r="M188"/>
  <c r="M187"/>
  <c r="M186"/>
  <c r="M185"/>
  <c r="M235"/>
  <c r="M234"/>
  <c r="M233"/>
  <c r="M232"/>
  <c r="M231"/>
  <c r="M316"/>
  <c r="M315"/>
  <c r="M413"/>
  <c r="M333"/>
  <c r="M457"/>
  <c r="M502"/>
  <c r="M501"/>
  <c r="M269"/>
  <c r="M270"/>
  <c r="M488"/>
  <c r="M487"/>
  <c r="M489"/>
  <c r="M451"/>
  <c r="L121"/>
  <c r="L120"/>
  <c r="L119"/>
  <c r="L118"/>
  <c r="L488"/>
  <c r="L487"/>
  <c r="L489"/>
  <c r="L19"/>
  <c r="L18"/>
  <c r="L50"/>
  <c r="L188"/>
  <c r="L187"/>
  <c r="L186"/>
  <c r="L185"/>
  <c r="L271"/>
  <c r="L290"/>
  <c r="L289"/>
  <c r="L288"/>
  <c r="L316"/>
  <c r="L315"/>
  <c r="L333"/>
  <c r="L457"/>
  <c r="L451"/>
  <c r="L502"/>
  <c r="L501"/>
  <c r="L500"/>
  <c r="L499"/>
  <c r="K271"/>
  <c r="K290"/>
  <c r="K289"/>
  <c r="K288"/>
  <c r="K16"/>
  <c r="K17"/>
  <c r="K120"/>
  <c r="K119"/>
  <c r="K118"/>
  <c r="K121"/>
  <c r="K500"/>
  <c r="K499"/>
  <c r="K188"/>
  <c r="K187"/>
  <c r="K186"/>
  <c r="K185"/>
  <c r="K63"/>
  <c r="K62"/>
  <c r="K61"/>
  <c r="K60"/>
  <c r="K50"/>
  <c r="K430"/>
  <c r="K333"/>
  <c r="K458"/>
  <c r="K466"/>
  <c r="K474"/>
  <c r="K491"/>
  <c r="K490"/>
  <c r="M500"/>
  <c r="M499"/>
  <c r="M498"/>
  <c r="M486"/>
  <c r="L560"/>
  <c r="K498"/>
  <c r="K560"/>
  <c r="K201"/>
  <c r="K130"/>
  <c r="K129"/>
  <c r="K128"/>
  <c r="K127"/>
  <c r="K561"/>
  <c r="K126"/>
  <c r="K14"/>
  <c r="M332"/>
  <c r="M289"/>
  <c r="M288"/>
  <c r="M201"/>
  <c r="M126"/>
  <c r="L523"/>
  <c r="L498"/>
  <c r="L486"/>
  <c r="L201"/>
  <c r="L126"/>
  <c r="M17"/>
  <c r="M16"/>
  <c r="L269"/>
  <c r="L270"/>
  <c r="L17"/>
  <c r="L16"/>
  <c r="L332"/>
  <c r="K489"/>
  <c r="K488"/>
  <c r="K487"/>
  <c r="K486"/>
  <c r="K457"/>
  <c r="K451"/>
  <c r="K332"/>
  <c r="K270"/>
  <c r="K269"/>
  <c r="M15"/>
  <c r="M14"/>
  <c r="L15"/>
  <c r="L14"/>
  <c r="M268"/>
  <c r="M267"/>
  <c r="L268"/>
  <c r="L267"/>
  <c r="K268"/>
  <c r="K267"/>
  <c r="K557"/>
  <c r="K563"/>
  <c r="M557"/>
  <c r="F21" i="12"/>
  <c r="F22"/>
  <c r="L557" i="10"/>
  <c r="E21" i="12"/>
  <c r="E22"/>
  <c r="M563" i="10"/>
  <c r="F31" i="11"/>
  <c r="F41"/>
  <c r="L563" i="10"/>
  <c r="E31" i="11"/>
  <c r="E41"/>
</calcChain>
</file>

<file path=xl/sharedStrings.xml><?xml version="1.0" encoding="utf-8"?>
<sst xmlns="http://schemas.openxmlformats.org/spreadsheetml/2006/main" count="4470" uniqueCount="401">
  <si>
    <t>муниципального района</t>
  </si>
  <si>
    <t>(тыс. рублей)</t>
  </si>
  <si>
    <t>Наименование</t>
  </si>
  <si>
    <t>Код</t>
  </si>
  <si>
    <t>раздел</t>
  </si>
  <si>
    <t>2016 год</t>
  </si>
  <si>
    <t>3</t>
  </si>
  <si>
    <t>4</t>
  </si>
  <si>
    <t>5</t>
  </si>
  <si>
    <t>6</t>
  </si>
  <si>
    <t>Финансовое управление Администрации Ртищевского муниципального района</t>
  </si>
  <si>
    <t>051</t>
  </si>
  <si>
    <t>Общегосударственные вопросы</t>
  </si>
  <si>
    <t>01</t>
  </si>
  <si>
    <t>Обеспечение деятельности финансовых, налоговых и таможенных органов и органов финансового (финансово-бюджетного) надзора</t>
  </si>
  <si>
    <t>06</t>
  </si>
  <si>
    <t>Расходы на обеспечение функций центрального аппарата</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</si>
  <si>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</si>
  <si>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</si>
  <si>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Расходы на выплаты персоналу государственных (муниципальных) органов</t>
  </si>
  <si>
    <t>120</t>
  </si>
  <si>
    <t>Закупка товаров, работ и услуг для государственных (муниципальных) нужд</t>
  </si>
  <si>
    <t>200</t>
  </si>
  <si>
    <t>Иные закупки товаров, работ и услуг для обеспечения государственных (муниципальных) нужд</t>
  </si>
  <si>
    <t>240</t>
  </si>
  <si>
    <t>Иные бюджетные ассигнования</t>
  </si>
  <si>
    <t>800</t>
  </si>
  <si>
    <t>Уплата налогов, сборов и иных платежей</t>
  </si>
  <si>
    <t>850</t>
  </si>
  <si>
    <t>Резервные фонды</t>
  </si>
  <si>
    <t>11</t>
  </si>
  <si>
    <t>Резервные средства</t>
  </si>
  <si>
    <t>870</t>
  </si>
  <si>
    <t>Другие общегосударственные вопросы</t>
  </si>
  <si>
    <t>13</t>
  </si>
  <si>
    <t>Расходы на судебные издержки и исполнение судебных решений</t>
  </si>
  <si>
    <t>Исполнение судебных актов</t>
  </si>
  <si>
    <t>830</t>
  </si>
  <si>
    <t>02</t>
  </si>
  <si>
    <t>03</t>
  </si>
  <si>
    <t>Межбюджетные трансферты</t>
  </si>
  <si>
    <t>500</t>
  </si>
  <si>
    <t>Обслуживание государственного и муниципального долга</t>
  </si>
  <si>
    <t>Обслуживание внутреннего государственного и муниципального долга</t>
  </si>
  <si>
    <t>Прочие непрограммные расходы  органов исполнительной власти муниципального образования</t>
  </si>
  <si>
    <t>Обслуживание государственного (муниципального) долга</t>
  </si>
  <si>
    <t>700</t>
  </si>
  <si>
    <t>Обслуживание муниципального долга</t>
  </si>
  <si>
    <t>730</t>
  </si>
  <si>
    <t>14</t>
  </si>
  <si>
    <t>Межбюджетные трансферты общего характера бюджетам субъектов Российской Федерации и муниципальных образований</t>
  </si>
  <si>
    <t>Дотации  на выравнивание бюджетной обеспеченности субъектов Российской Федерации и муниципальных образований</t>
  </si>
  <si>
    <t>Предоставление межбюджетных трансфертов</t>
  </si>
  <si>
    <t>Дотация на выравнивание бюджетной обеспеченности поселений из районного фонда финансовой поддержки</t>
  </si>
  <si>
    <t xml:space="preserve">Дотации </t>
  </si>
  <si>
    <t>510</t>
  </si>
  <si>
    <t>Прочие межбюджетные трансферты общего характера</t>
  </si>
  <si>
    <t>Иные межбюджетные трансферты</t>
  </si>
  <si>
    <t>Отдел по управлению имуществом и земельным отношениям администрации Ртищевского муниципального района</t>
  </si>
  <si>
    <t>054</t>
  </si>
  <si>
    <t>Оценка недвижимости, признание прав и регулирование отношений по муниципальной собственности</t>
  </si>
  <si>
    <t>Национальная экономика</t>
  </si>
  <si>
    <t>04</t>
  </si>
  <si>
    <t>Другие вопросы в области национальной экономики</t>
  </si>
  <si>
    <t>12</t>
  </si>
  <si>
    <t>Мероприятия по землеустройству и землепользованию</t>
  </si>
  <si>
    <t>Жилищно-коммунальное хозяйство</t>
  </si>
  <si>
    <t>05</t>
  </si>
  <si>
    <t>Коммунальное хозяйство</t>
  </si>
  <si>
    <t>Подпрограмма "Модернизация  объектов коммунальной инфраструктуры"</t>
  </si>
  <si>
    <t>Образование</t>
  </si>
  <si>
    <t>07</t>
  </si>
  <si>
    <t>Дошкольное образование</t>
  </si>
  <si>
    <t>Мероприятия по приобретению материальных ценностей</t>
  </si>
  <si>
    <t>Социальная политика</t>
  </si>
  <si>
    <t>10</t>
  </si>
  <si>
    <t>Социальное обеспечение населения</t>
  </si>
  <si>
    <t>Социальное обеспечение и иные выплаты населению</t>
  </si>
  <si>
    <t>300</t>
  </si>
  <si>
    <t>Публичные нормативные социальные выплаты гражданам</t>
  </si>
  <si>
    <t>310</t>
  </si>
  <si>
    <t>Администрация Ртищевского муниципального района</t>
  </si>
  <si>
    <t>056</t>
  </si>
  <si>
    <t>Функционирование законодательных (представительных) органов государственной власти и  представительных органов муниципальных образований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</si>
  <si>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</si>
  <si>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Предоставление субсидий бюджетным, автономным учреждениям и иным некоммерческим организациям</t>
  </si>
  <si>
    <t>600</t>
  </si>
  <si>
    <t>Субсидии некоммерческим организациям (за исключением государственных (муниципальных) учреждений)</t>
  </si>
  <si>
    <t>630</t>
  </si>
  <si>
    <t>Национальная безопасность и правоохранительная деятельность</t>
  </si>
  <si>
    <t>Другие вопросы в области национальной безопасности и правоохранительной деятельности</t>
  </si>
  <si>
    <t>Муниципальная программа  "Развитие транспортной системы в Ртищевском муниципальном районе на 2014-2016 годы"</t>
  </si>
  <si>
    <t>09</t>
  </si>
  <si>
    <t>Дорожное хозяйство</t>
  </si>
  <si>
    <t>Субсидии юридическим лицам (кроме некоммерческих организаций), индивидуальным предпринимателям, физическим лицам</t>
  </si>
  <si>
    <t>810</t>
  </si>
  <si>
    <t>Пенсионное обеспечение</t>
  </si>
  <si>
    <t>Доплаты к пенсиям муниципальных служащих</t>
  </si>
  <si>
    <t>Социальные выплаты гражданам, кроме публичных нормативных социальных выплат</t>
  </si>
  <si>
    <t>320</t>
  </si>
  <si>
    <t>Средства массовой информации</t>
  </si>
  <si>
    <t>Периодическая печать и издания</t>
  </si>
  <si>
    <t>Расходы на выплаты персоналу казенных учреждений</t>
  </si>
  <si>
    <t>110</t>
  </si>
  <si>
    <t>111</t>
  </si>
  <si>
    <t>Управление общего образования Администрации Ртищевского муниципального района</t>
  </si>
  <si>
    <t>Детские дошкольные учреждения</t>
  </si>
  <si>
    <t>Субсидии бюджетным учреждениям</t>
  </si>
  <si>
    <t>610</t>
  </si>
  <si>
    <t>Общее образование</t>
  </si>
  <si>
    <t>Школы-детские сады, школы начальные, неполные средние и полные средние школы</t>
  </si>
  <si>
    <t>Учреждения по внешкольной работе с детьми</t>
  </si>
  <si>
    <t>Предоставление питания отдельным категориям обучающихся в муниципальных образовательных организациях, реализующих образовательные программы начального общего, основного общего и среднего общего образования</t>
  </si>
  <si>
    <t>Молодежная политика и оздоровление детей</t>
  </si>
  <si>
    <t>Стационарные детские оздоровительные лагеря</t>
  </si>
  <si>
    <t>Мероприятия по проведению оздоровительной кампании детей (оздоровительные лагеря с дневным пребыванием при муниципальных общеобразовательных учреждениях)</t>
  </si>
  <si>
    <t>Оплата стоимости путевок в загородные стационарные детские оздоровительные лагеря</t>
  </si>
  <si>
    <t>Другие вопросы в области образования</t>
  </si>
  <si>
    <t>Охрана семьи и детства</t>
  </si>
  <si>
    <t>Компенсация родительской платы за присмотр и уход за детьми  в образовательных организациях, реализующих основную общеобразовательную программу дошкольного образования</t>
  </si>
  <si>
    <t>Отдел культуры и кино администрации Ртищевского муниципального района</t>
  </si>
  <si>
    <t>222</t>
  </si>
  <si>
    <t>Культура и кинематография</t>
  </si>
  <si>
    <t>08</t>
  </si>
  <si>
    <t>Культура</t>
  </si>
  <si>
    <t>Дворцы и дома культуры, другие учреждения культуры и средств массовой информации</t>
  </si>
  <si>
    <t>Библиотеки </t>
  </si>
  <si>
    <t>Другие вопросы в области культуры, кинематографии</t>
  </si>
  <si>
    <t>Отдел по спорту и туризму Администрации Ртищевского муниципального района</t>
  </si>
  <si>
    <t>230</t>
  </si>
  <si>
    <t>Физическая культура и спорт</t>
  </si>
  <si>
    <t>Другие вопросы в области физической культуры и спорта</t>
  </si>
  <si>
    <t>2017 год</t>
  </si>
  <si>
    <t>Приложение  №  1 к распоряжению</t>
  </si>
  <si>
    <t>администрации Ртищевского</t>
  </si>
  <si>
    <t>тыс. рублей</t>
  </si>
  <si>
    <t>№ п/п</t>
  </si>
  <si>
    <t>Плановый период</t>
  </si>
  <si>
    <t>1.</t>
  </si>
  <si>
    <t xml:space="preserve">Доходы - всего: </t>
  </si>
  <si>
    <t>в том числе</t>
  </si>
  <si>
    <t>Налоговые и неналоговые доходы</t>
  </si>
  <si>
    <t>из них:</t>
  </si>
  <si>
    <t>доходы от приносящей доход деятельности</t>
  </si>
  <si>
    <t>Безвозмездные поступления</t>
  </si>
  <si>
    <t>2.</t>
  </si>
  <si>
    <t>Расходы - всего</t>
  </si>
  <si>
    <t>3.</t>
  </si>
  <si>
    <t>Профицит (+), дефицит (-)</t>
  </si>
  <si>
    <t>4.</t>
  </si>
  <si>
    <t>Источники внутреннего финансирования дефицита бюджета</t>
  </si>
  <si>
    <t xml:space="preserve">Кредиты кредитных организаций </t>
  </si>
  <si>
    <t>получение</t>
  </si>
  <si>
    <t>погашение</t>
  </si>
  <si>
    <t xml:space="preserve">Бюджетные кредиты от других бюджетов бюджетной системы Российской Федерации </t>
  </si>
  <si>
    <t>Изменение остатков средств бюджета</t>
  </si>
  <si>
    <t>5.</t>
  </si>
  <si>
    <t xml:space="preserve">Предельный объем муниципального долга на конец года </t>
  </si>
  <si>
    <t>Приложение  №  2 к распоряжению</t>
  </si>
  <si>
    <t xml:space="preserve">              </t>
  </si>
  <si>
    <t>в том числе:</t>
  </si>
  <si>
    <t>доходы от иной приносящей доход деятельности</t>
  </si>
  <si>
    <t>Дотация на выравнивание бюджетной обеспеченности муниципальных районов</t>
  </si>
  <si>
    <t>Межбюджетные трансферты, передаваемые из бюджетов поселений на осуществление части полномочий по решению вопросов местного значения в соответствии с заключенными соглашениями</t>
  </si>
  <si>
    <t>из областного фонда финансовой поддержки поселений</t>
  </si>
  <si>
    <t>из районного фонда финансовой поддержки поселений</t>
  </si>
  <si>
    <t>Источники внутреннего финансирования  дефицита бюджета</t>
  </si>
  <si>
    <t>возврат</t>
  </si>
  <si>
    <t>предоставление</t>
  </si>
  <si>
    <t>Субвенции по расчету и предоставлению дотаций поселениям</t>
  </si>
  <si>
    <t>Межбюджетные трансферты, передаваемые бюджетам поселений</t>
  </si>
  <si>
    <t>Иные межбюджетные трансферты бюджетам поселений</t>
  </si>
  <si>
    <t>Кредиты кредитных организаций</t>
  </si>
  <si>
    <t>Бюджетные кредиты от других бюджетов бюджетной системы Российской Федерации</t>
  </si>
  <si>
    <t>Бюджетные кредиты бюджетам поселений</t>
  </si>
  <si>
    <t>Иные источники внутреннего финансирования дефицита бюджета</t>
  </si>
  <si>
    <t>Дотации на выравнивание бюджетной обеспеченности муниципальных образований, из них:</t>
  </si>
  <si>
    <t>Приложение  № 4 к распоряжению</t>
  </si>
  <si>
    <t>Наименование поселений</t>
  </si>
  <si>
    <t>Краснозвездинское муниципальное образование</t>
  </si>
  <si>
    <t>Макаровское муниципальное образование</t>
  </si>
  <si>
    <t>Октябрьское муниципальное образование</t>
  </si>
  <si>
    <t>Салтыковское муниципальное образование</t>
  </si>
  <si>
    <t>Урусовское муниципальное образование</t>
  </si>
  <si>
    <t>Шило-Голицынское муниципальное образование</t>
  </si>
  <si>
    <t>ИТОГО</t>
  </si>
  <si>
    <t>Приложение  № 5 к распоряжению</t>
  </si>
  <si>
    <t>Приложение  № 6 к распоряжению</t>
  </si>
  <si>
    <t>муниципальное образование город Ртищево</t>
  </si>
  <si>
    <t>Предельный объем муниципального долга  на конец года</t>
  </si>
  <si>
    <t>Дотации бюджетам субъектов Российской Федерации и муниципальных образований</t>
  </si>
  <si>
    <t xml:space="preserve">Субвенции бюджетам субъектов Российской Федерации и муниципальных образований </t>
  </si>
  <si>
    <t>Субсидии бюджетам бюджетной системы  Российской Федерации (межбюджетные субсидии)</t>
  </si>
  <si>
    <t xml:space="preserve">Субвенции на осуществление первичного воинского учета на территориях, где отсутствуют военные комиссариаты </t>
  </si>
  <si>
    <t>Приложение  №  3 к распоряжению</t>
  </si>
  <si>
    <t>Подраздел</t>
  </si>
  <si>
    <t>Целевая статья</t>
  </si>
  <si>
    <t>Вид рас-ходов</t>
  </si>
  <si>
    <t>Выполнение функций органами местного самоуправления</t>
  </si>
  <si>
    <t>91</t>
  </si>
  <si>
    <t>0</t>
  </si>
  <si>
    <t>00</t>
  </si>
  <si>
    <t>00000</t>
  </si>
  <si>
    <t>Обеспечение деятельности финансовых органов и органов  финансового (финансового - бюджетного) надзора</t>
  </si>
  <si>
    <t>2</t>
  </si>
  <si>
    <t>02200</t>
  </si>
  <si>
    <t>Закупка товаров, работ и услуг для обеспечения государственных (муниципальных) нужд</t>
  </si>
  <si>
    <t>Уплата  налога на имущество и транспортного налога органами местного самоуправления</t>
  </si>
  <si>
    <t>06100</t>
  </si>
  <si>
    <t>Осуществление органами местного самоуправления области отдельных государственных полномочий по санкционированию финансовыми органами муниципальных образований Саратовской области кассовых выплат получателям средств областного бюджета, областным государственным автономным и бюджетным учреждениям, расположенным на территориях муниципальных образований области</t>
  </si>
  <si>
    <t>76200</t>
  </si>
  <si>
    <t>99</t>
  </si>
  <si>
    <t>9</t>
  </si>
  <si>
    <t>Средства резервных фондов местных администраций</t>
  </si>
  <si>
    <t>99900</t>
  </si>
  <si>
    <t>Обслуживание долговых обязательств</t>
  </si>
  <si>
    <t>92</t>
  </si>
  <si>
    <t>Процентные платежи за пользование кредитами, предоставленными кредитными организациями муниципальному образованию</t>
  </si>
  <si>
    <t>09710</t>
  </si>
  <si>
    <t>Процентные платежи за пользование бюджетными кредитами, предоставленными из областного бюджета муниципальному образованию</t>
  </si>
  <si>
    <t>09720</t>
  </si>
  <si>
    <t>98</t>
  </si>
  <si>
    <t>Дотации</t>
  </si>
  <si>
    <t>1</t>
  </si>
  <si>
    <t>Дотация на выравнивание бюджетной обеспеченности поселений за счет субвенции на исполнение государственных полномочий по расчету и предоставлению дотаций поселениям</t>
  </si>
  <si>
    <t>76100</t>
  </si>
  <si>
    <t>91000</t>
  </si>
  <si>
    <t>Иные межбюджетные трасферты</t>
  </si>
  <si>
    <t>Прочие межбюджетные трансферты из бюджета муниципального района бюджетам поселений</t>
  </si>
  <si>
    <t>92000</t>
  </si>
  <si>
    <t>Обеспечение деятельности органов исполнительной власти муниципального образования</t>
  </si>
  <si>
    <t>Осуществление органами местного самоуправления государственных полномочий по организации предоставления гражданам субсидий на оплату жилого помещения и коммунальных услуг</t>
  </si>
  <si>
    <t>77Б00</t>
  </si>
  <si>
    <t>Мероприятия в сфере управления имуществом муниципального образования</t>
  </si>
  <si>
    <t>94</t>
  </si>
  <si>
    <t>06600</t>
  </si>
  <si>
    <t>06700</t>
  </si>
  <si>
    <t>Муниципальная программа "Обеспечение населения доступным жильем и развитие жилищно-коммунальной инфраструктуры на 2014-2020 годы"</t>
  </si>
  <si>
    <t>72</t>
  </si>
  <si>
    <t>Основное мероприятие "Капитальный ремонт водозаборных скважин"</t>
  </si>
  <si>
    <t>Реализация основного мероприятия</t>
  </si>
  <si>
    <t>V0000</t>
  </si>
  <si>
    <t>Расходы по исполнению отдельных обязательств</t>
  </si>
  <si>
    <t>Погашение кредиторской задолженности, в том числе по судам</t>
  </si>
  <si>
    <t>08900</t>
  </si>
  <si>
    <t>Расходы по социальному обеспечению и иным выплатам населению муниципального образования</t>
  </si>
  <si>
    <t>96</t>
  </si>
  <si>
    <t xml:space="preserve">Осуществление органами местного самоуправления государственных полномочий по предоставлению гражданам субсидий на оплату жилого помещения и коммунальных услуг </t>
  </si>
  <si>
    <t>77В00</t>
  </si>
  <si>
    <t>Собрание депутатов Ртищевского муниципального района</t>
  </si>
  <si>
    <t>Функционирование представительных органов муниципальных образований</t>
  </si>
  <si>
    <t xml:space="preserve">Расходы на обеспечение деятельности депутатов представительного органа муниципального образования </t>
  </si>
  <si>
    <t>01100</t>
  </si>
  <si>
    <t>Расходы на обеспечение деятельности главы местной администрации (исполнительно - распорядительного органа муниципального образования)</t>
  </si>
  <si>
    <t>02100</t>
  </si>
  <si>
    <t xml:space="preserve">Осуществление органами местного самоуравления отдельных государственных полномочий по государственному управлению охраной труда </t>
  </si>
  <si>
    <t>76300</t>
  </si>
  <si>
    <t>Осуществление органами местного самоуправления государственных пол-номочий по созданию и организации деятельности комиссий по делам несовершеннолетних и защите их прав</t>
  </si>
  <si>
    <t>76600</t>
  </si>
  <si>
    <t>Осуществление органами местного самоуправления государственных пол-номочий по образованию и обеспечению деятельности административных комиссий, определению перечня должностных лиц, уполномоченных составлять протоколы об административных правонарушениях</t>
  </si>
  <si>
    <t>76500</t>
  </si>
  <si>
    <t>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совершеннолетних граждан</t>
  </si>
  <si>
    <t>76400</t>
  </si>
  <si>
    <t>Осуществление деятельности по опеке и попечительству в отношении не-совершеннолетних граждан в части расходов на оплату труда,начисления на выплаты по оплате труда и обеспечение деятельности штатных работников</t>
  </si>
  <si>
    <t>77600</t>
  </si>
  <si>
    <t>Расходы на оплату членских взносов в ассоциации</t>
  </si>
  <si>
    <t>08200</t>
  </si>
  <si>
    <t>75</t>
  </si>
  <si>
    <t>Подпрограмма "Обеспечение надежности и безопасности движения по автомобильным дорогам муниципального значения Ртищевского муниципального района на 2014 - 2016 годы"</t>
  </si>
  <si>
    <t>Основное мероприятие "Нанесение дорожной разметки на улично-дорожную сеть"</t>
  </si>
  <si>
    <t xml:space="preserve">Основное мероприятие "Обустройство улично-дорожной сети дорожными знаками" </t>
  </si>
  <si>
    <t>Подпрограмма "Ремонт автомобильных дорог и искусственных сооружений на них в границах городских и сельских поселений"</t>
  </si>
  <si>
    <t>Основное мероприятие "Ремонт асфальтобетонного покрытия улиц в границах сельских населенных пунктов"</t>
  </si>
  <si>
    <t>Реализация основного мероприятия за счет средств муниципального дорожного фонда (собственные средства муниципального образования)</t>
  </si>
  <si>
    <t>G0800</t>
  </si>
  <si>
    <t>Реализация основного мероприятия за счет средств муниципального дорожного фонда (переданные полномочия)</t>
  </si>
  <si>
    <t>G0810</t>
  </si>
  <si>
    <t>Подпрограмма "Капитальный ремонт, ремонт и содержание автомобильных дорог общего пользования местного значения, переданных из государственной собственности области в муниципальную собственность"</t>
  </si>
  <si>
    <t>Основное мероприятие "Капитальный ремонт, ремонт и содержание автомобильных дорог общего пользования местного значения, переданных из государственной собственности области в муниципальную собственность"</t>
  </si>
  <si>
    <t>Капитальный ремонт, ремонт и содержание автомобильных дорог общего пользования местного значения, переданных из государственной собственности области в муниципальную собственность, за счет средств областного дорожного фонда</t>
  </si>
  <si>
    <t>D7300</t>
  </si>
  <si>
    <t>07100</t>
  </si>
  <si>
    <t xml:space="preserve">Возмещение расходов на оплату жилого помещения и коммунальных услуг медицинским и фармацевтическим работникам, проживающим и работающим в сельской местности, рабочих поселках (поселках городского типа) </t>
  </si>
  <si>
    <t>07300</t>
  </si>
  <si>
    <t>Осуществление деятельности по опеке и попечительству в отношении не-совершеннолетних граждан в части расходов на обеспечение деятельности по сохранению, содержанию и ремонту пустующих жилых помещений, закрепленных за детьми-сиротами и детьми, оставшимися без попечения родителей</t>
  </si>
  <si>
    <t>77700</t>
  </si>
  <si>
    <t xml:space="preserve">Информационное обеспечение деятельности органов местного самоуправления </t>
  </si>
  <si>
    <t>08400</t>
  </si>
  <si>
    <t xml:space="preserve">Контрольно - счетная комиссия администрации Ртищевского муниципального района </t>
  </si>
  <si>
    <t>Расходы на обеспечение деятельности руководителя контрольно - счетной комиссии муниципального образования и его заместители</t>
  </si>
  <si>
    <t>01300</t>
  </si>
  <si>
    <t>Муниципальное учреждение "Административно-хозяйственная группа"</t>
  </si>
  <si>
    <t>Обеспечение деятельности учреждений (оказание муниципальных, услуг, выполнение работ)</t>
  </si>
  <si>
    <t>93</t>
  </si>
  <si>
    <t>Централизованные бухгалтерии, группы хозяйственного обслуживания учреждений и органов местного самоуправления муниципальных образований</t>
  </si>
  <si>
    <t>Расходы на обеспечение деятельности  муниципальных казенных учреждений</t>
  </si>
  <si>
    <t>04200</t>
  </si>
  <si>
    <t>Уплата  налога на имущество и транспортного налога муниципальными казенными учреждениями</t>
  </si>
  <si>
    <t>06200</t>
  </si>
  <si>
    <t>Муниципальное учреждение "Централизованная бухгалтерия"</t>
  </si>
  <si>
    <t>Расходы на выполнение муниципальных заданий муниципальными  бюджетными и автономными учреждениями</t>
  </si>
  <si>
    <t>04100</t>
  </si>
  <si>
    <t>Финансовое обеспечение муниципального задания на оказание муниципальных услуг (выполнение работ)</t>
  </si>
  <si>
    <t>04110</t>
  </si>
  <si>
    <t>Финансовое обеспечение на иные цели муниципальных бюджетных и автономных учреждений</t>
  </si>
  <si>
    <t>04130</t>
  </si>
  <si>
    <t>Финансовое обеспечение образовательной деятельности муниципальных дошкольных образовательных организаций</t>
  </si>
  <si>
    <t>76700</t>
  </si>
  <si>
    <t>Частичное финансирование расходов на присмотр и уход за детьми дошкольного возраста в муниципальных образовательных организациях, реализующих основную общеобразовательную программу дошкольного образования</t>
  </si>
  <si>
    <t>76900</t>
  </si>
  <si>
    <t>Осуществление органами местного самоуправления государственных полномочий по организации предоставления  компенсации родительской платы  за присмотр и уход за детьми в образовательных организациях, реализующих основную общеобразовательную программу дошкольного образования</t>
  </si>
  <si>
    <t>77800</t>
  </si>
  <si>
    <t>Уплата  налога на имущество и транспортного налога муниципальными бюджетными и автономными учреждениями</t>
  </si>
  <si>
    <t>04120</t>
  </si>
  <si>
    <t>Финансовое обеспечение образовательной деятельности муниципальных общеобразовательных учреждений</t>
  </si>
  <si>
    <t>77000</t>
  </si>
  <si>
    <t>Осуществление органами местного самоуправления отдельных государственных полномочий по предоставлению субсидии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на возмещение затрат на обеспечение образовательной деятельности</t>
  </si>
  <si>
    <t>77100</t>
  </si>
  <si>
    <t>77200</t>
  </si>
  <si>
    <t>04300</t>
  </si>
  <si>
    <t>8</t>
  </si>
  <si>
    <t>07200</t>
  </si>
  <si>
    <t>Муниципальная программа "Развитие образования в Ртищевском муниципальном районе на 2016 год"</t>
  </si>
  <si>
    <t>Подпрограмма "Развитие системы дошкольного образования"</t>
  </si>
  <si>
    <t>71</t>
  </si>
  <si>
    <t>Основное мероприятие "Создание безбарьерной среды  в ДОУ для детей-инвалидов и других маломобильных групп населения (установка пандусов, противоскользящих покрытий, благоустройство прилегающей территории, переоборудование порогов, замена входных дверей и т.д.)"</t>
  </si>
  <si>
    <t>Подпрограмма "Развитие системы общего и дополнительного образования"</t>
  </si>
  <si>
    <t>Основное мероприятие "Организация государственной (итоговой) аттестации выпускников 9-х классов (приобретение ГСМ 
и запчастей, бумаги, расходных материалов к оргтехнике 
для проведения экзаменов)"</t>
  </si>
  <si>
    <t>Основное мероприятие "Организация и проведение единого государственного экзамена (приобретение ГСМ и запчастей, бумаги, расходных материалов к оргтехнике для проведения экзаменов, приобретение множительной техники, приобретение подавителей (блокираторов) средств сотовой связи и беспроводного доступа, получение ЭЦП, оплата выполнения услуг по оборудованию защищенного канала связи для передачи данных через Интернет, использование услуг ФГУП ГЦСС для доставки контрольно-измерительных материалов по ЕГЭ)."</t>
  </si>
  <si>
    <t>Основное мероприятие "Проведение муниципального торжественного мероприятия, посвященного Дню Учителя и Дню дошкольного работника. Занесение на доску Почета работников образования (приобретение грамот, дипломов, почетных призов, расходных материалов и изготовление фотографий)"</t>
  </si>
  <si>
    <t>Основное мероприятие "Проведение муниципального праздника для детей-инвалидов на базе МОУ СОШ № 1"</t>
  </si>
  <si>
    <t>Основное мероприятие "Техническое и методическое оснащение ТПМПК (приобретение множительной техники, бумаги, расходных матиериалов)"</t>
  </si>
  <si>
    <t>Основное мероприятие "Проведение праздника «Последний звонок»"</t>
  </si>
  <si>
    <t>Основное мероприятие "Проведение спартакиад, соревнований по многоборью ГТО, тестирования «сдача норм Всероссийского физкультурно-спортивного комплекса ГТО» (приобретение ГСМ, дипломов, грамот, призов, расходных материалов)"</t>
  </si>
  <si>
    <t>15</t>
  </si>
  <si>
    <t>Основное мероприятие "Проведение районного совещания работников образования (организация, оформление зала, приобретение грамот, благодарственных писем, бумаги и других расходных материалов)"</t>
  </si>
  <si>
    <t>16</t>
  </si>
  <si>
    <t>Основное мероприятие "Проведение спортивных мероприятий, конкурсов, круглых столов, ток-шоу, направленных на профилактику наркомании, табакокурения и алкоголизма"</t>
  </si>
  <si>
    <t>18</t>
  </si>
  <si>
    <t>Основное мероприятие "Проведение мероприятий, направленных на патриотическое воспитания граждан в Ртищевском муниципальном районе"</t>
  </si>
  <si>
    <t>19</t>
  </si>
  <si>
    <t>Основное мероприятие "Проведение процедур оценки качества образования на всех уровнях по образовательным программам начального, основного общего и среднего общего образования "</t>
  </si>
  <si>
    <t>20</t>
  </si>
  <si>
    <t>Подпрограмма "Одаренные дети Ртищевского муниципального района"</t>
  </si>
  <si>
    <t>Основное мероприятие "Проведение муниципального тура предметных олимпиад (разработка, тиражирование материалов для школьного тура; приобретение необходимых расходных материалов)"</t>
  </si>
  <si>
    <t>Основное мероприятие "Поощрение и поддержка одаренных детей (победителей муниципальных, областных, всероссийских конкурсов, олимпиад, фестивалей, спортивных соревнований). Проведение муниципального праздника для победителей олимпиад (приобретение дипломов, памятных призов, расходные материалы)"</t>
  </si>
  <si>
    <t>Основное мероприятие "Проведение муниципальных конкурсов детского творчества для воспитанников ДОУ (приобретение дипломов, призов, расходных материалов)"</t>
  </si>
  <si>
    <t>Основное мероприятие "Проведение торжественного мероприятия, посвященного Выпускному вечеру, вручение медалей, нагрудных знаков выпускникам (приобретение грамот, дипломов, памятных подарков, расходных материалов)"</t>
  </si>
  <si>
    <t>Основное мероприятие "Проведение муниципальных конкурсов детского творчества, фестивалей, конференций, выставок, игр КВН (приобретение дипломов, призов, ,расходных материалов, оформление зала)"</t>
  </si>
  <si>
    <t>Основное мероприятие "Учреждение стипендии Главы администрации РМР лучшим обучающимся года"</t>
  </si>
  <si>
    <t>Основное мероприятие "Обеспечение участия детей в областных и всероссийских олимпиадах, конкурсах, юношеских чтениях"</t>
  </si>
  <si>
    <t>Подпрограмма "Обеспечение условий безопасности муниципальных учреждений, 
подведомственных Управлению общего образования администрации Ртищевского муниципального района</t>
  </si>
  <si>
    <t>Основное мероприятие "Установка, замена  и восстановление ограждений территорий муниципальных учреждений"</t>
  </si>
  <si>
    <t>Основное мероприятие "Услуги, необходимые для предупреждения пожаров и их ликвидации на объектах образования (Установка, замена, ремонт, обслуживание системы АПС, огнезащитная обработка сгораемых поверхностей, проверка огнезащитной обработки, заправка огнетушителей, замеры сопротивления изоляции, монтаж системы связи с пожарной частью)"</t>
  </si>
  <si>
    <t>Основное мероприятие "Мероприятия по предупреждению  терроризма (Установка камер видеонаблюдения, установка системы контроля доступа (турникета), устройство ограждения территории учреждения, установка и обслуживание кнопки тревожной сигнализации, восстановление освещения территории организаций)"</t>
  </si>
  <si>
    <t>Основное мероприятие "Мероприятия по энергосбережению и повышению энергоэффективности теплоснабжения в образовательных учреждениях (приобретение и ремонт узлов учета тепла, замена ламп электронакаливания на энергосберегающие, замена оконных и дверных блоков на конструкции из ПВХ)"</t>
  </si>
  <si>
    <t xml:space="preserve">Подпрограмма "Организация отдыха, оздоровления и занятости детей и подростков" </t>
  </si>
  <si>
    <t>Основное мероприятие "Подготовка МУ ДОЛ «Ясный» с. Потьма Ртищевского района  к летнему оздоровительному сезону"</t>
  </si>
  <si>
    <t>Основное мероприятие "Обеспечение временной трудовой занятости подростков 
общеобразовательных организаций в летний период"</t>
  </si>
  <si>
    <r>
      <t>Подпрограмма</t>
    </r>
    <r>
      <rPr>
        <sz val="12"/>
        <color indexed="8"/>
        <rFont val="Times New Roman"/>
        <family val="1"/>
        <charset val="204"/>
      </rPr>
      <t xml:space="preserve"> "Развитие кадрового потенциала в образовательных организациях"</t>
    </r>
  </si>
  <si>
    <t>Основное мероприятие "Проведение профессиональных конкурсов для педагогов дошкольного, общего и дополнительного образования</t>
  </si>
  <si>
    <t>Учебно-методические кабинеты</t>
  </si>
  <si>
    <t>7</t>
  </si>
  <si>
    <t>Осуществление органами местного самоуправления государственных полномочий по организации предоставления питания отдельным категориям обучающихся в муниципальных образовательных организациях, реализующих образовательные программы начального общего, основного общего и среднего общего образования, и частичного  финансирования расходов на присмотр и уход за детьми дошкольного возраста в муниципальных образовательных организациях, реализующих основную общеобразовательную программу дошкольного образования</t>
  </si>
  <si>
    <t>77300</t>
  </si>
  <si>
    <t>Организация осуществления органами местного самоуправления отдельных государственных полномочий по предоставлению субсидии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на возмещение затрат на обеспечение образовательной деятельности</t>
  </si>
  <si>
    <t>77500</t>
  </si>
  <si>
    <t>77900</t>
  </si>
  <si>
    <t>Комплектование книжных фондов библиотек муниципальных образований и государственных библиотек городов Москвы и Санкт-Петербурга</t>
  </si>
  <si>
    <t>51440</t>
  </si>
  <si>
    <t>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t>
  </si>
  <si>
    <t>51460</t>
  </si>
  <si>
    <t>Муниципальная программа "Культура Ртищевского муниципального района на 2014-2016 годы"</t>
  </si>
  <si>
    <t>73</t>
  </si>
  <si>
    <t>Подпрограмма "Развитие инфраструктуры отрасли культуры"</t>
  </si>
  <si>
    <t>Основное мероприятие "Организация детских игровых зон, приобретение аттракционов МУК "ГКЦ"</t>
  </si>
  <si>
    <t xml:space="preserve">Всего </t>
  </si>
  <si>
    <t>Распределение бюджетных ассигнований по разделам, подразделам, целевым статьям (муниципальным программам и непрограммным направлениям деятельности муниципального района), группам и подгруппам видов расходов классификации расходов бюджета Ртищевского муниципального района на 2016 год и  плановый период 2017-2018 годов</t>
  </si>
  <si>
    <t>2018 год</t>
  </si>
  <si>
    <t>*102,5%</t>
  </si>
  <si>
    <t>*105%</t>
  </si>
  <si>
    <t>полномоч</t>
  </si>
  <si>
    <t>обл.ср-ва</t>
  </si>
  <si>
    <t>14 раз.без субв</t>
  </si>
  <si>
    <t>Расходы по исполнительным листам</t>
  </si>
  <si>
    <t>08510</t>
  </si>
  <si>
    <t>Основные параметры бюджета Ртищевского муниципального района на 2016-2018 годы</t>
  </si>
  <si>
    <t>Основные параметры консолидированного бюджета Ртищевского муниципального района на 2016-2018 годы</t>
  </si>
  <si>
    <t>Распределение средств дотации на выравнивание бюджетной обеспеченности поселений из областного фонда финансовой поддержки поселений Ртищевского муниципального района на 2016-2018 годы</t>
  </si>
  <si>
    <t>Всего</t>
  </si>
  <si>
    <t>Распределение средств дотации на выравнивание бюджетной обеспеченности поселений из районного фонда финансовой поддержки поселений Ртищевского муниципального района на 2016-2018 годы</t>
  </si>
  <si>
    <t>Распределение средств иных межбюджетных  трансфертов бюджетам поселений из бюджета Ртищевского муниципального района на 2016-2018 годы</t>
  </si>
  <si>
    <t>от 17.11.2015  г. № 712-р</t>
  </si>
  <si>
    <t>Верно:  начальник отдела делопроизводства                                                                администрации  муниципального района                                О.В. Руфимская</t>
  </si>
  <si>
    <t>Верно: начальник отдела делопроизводства                                                     администрации муниципального района                     О.В. Руфимская</t>
  </si>
  <si>
    <t>от 17.11.2015 г. № 712-р</t>
  </si>
  <si>
    <t>Верно: начальник отдела делопроизводства                                                                                                   администрации муниципального района                              О.В. Руфимская</t>
  </si>
  <si>
    <t>Верно: начальник отдела делопроизводства                                                          администрации муниципального района                               О.В. Руфимская</t>
  </si>
  <si>
    <t>Верно: начальник отдела делопроизводства                                                                   администрации муниципального района                                    О.В. Руфимская</t>
  </si>
  <si>
    <t>от 17.11.2015 г.  №  712-р</t>
  </si>
  <si>
    <t>Верно: начальник отдела делопроизводства                                           администрации муниципального района                О.В. Руфимская</t>
  </si>
</sst>
</file>

<file path=xl/styles.xml><?xml version="1.0" encoding="utf-8"?>
<styleSheet xmlns="http://schemas.openxmlformats.org/spreadsheetml/2006/main">
  <numFmts count="5">
    <numFmt numFmtId="43" formatCode="_-* #,##0.00_р_._-;\-* #,##0.00_р_._-;_-* &quot;-&quot;??_р_._-;_-@_-"/>
    <numFmt numFmtId="164" formatCode="0.0%"/>
    <numFmt numFmtId="165" formatCode="#,##0.0"/>
    <numFmt numFmtId="166" formatCode="#,##0.0_ ;\-#,##0.0\ "/>
    <numFmt numFmtId="167" formatCode="000"/>
  </numFmts>
  <fonts count="26">
    <font>
      <sz val="11"/>
      <color theme="1"/>
      <name val="Calibri"/>
      <family val="2"/>
      <charset val="204"/>
      <scheme val="minor"/>
    </font>
    <font>
      <sz val="12"/>
      <name val="Times New Roman"/>
      <family val="1"/>
      <charset val="204"/>
    </font>
    <font>
      <sz val="12"/>
      <color indexed="9"/>
      <name val="Times New Roman"/>
      <family val="1"/>
      <charset val="204"/>
    </font>
    <font>
      <b/>
      <sz val="12"/>
      <name val="Times New Roman"/>
      <family val="1"/>
      <charset val="204"/>
    </font>
    <font>
      <b/>
      <sz val="13"/>
      <name val="Times New Roman"/>
      <family val="1"/>
      <charset val="204"/>
    </font>
    <font>
      <b/>
      <sz val="12"/>
      <color indexed="9"/>
      <name val="Times New Roman"/>
      <family val="1"/>
      <charset val="204"/>
    </font>
    <font>
      <sz val="12"/>
      <color indexed="8"/>
      <name val="Times New Roman"/>
      <family val="1"/>
      <charset val="204"/>
    </font>
    <font>
      <sz val="12"/>
      <color indexed="10"/>
      <name val="Times New Roman"/>
      <family val="1"/>
      <charset val="204"/>
    </font>
    <font>
      <sz val="12"/>
      <color indexed="8"/>
      <name val="Times New Roman"/>
      <family val="1"/>
      <charset val="204"/>
    </font>
    <font>
      <sz val="12"/>
      <name val="Times New Roman"/>
      <family val="1"/>
    </font>
    <font>
      <b/>
      <sz val="12"/>
      <color indexed="8"/>
      <name val="Times New Roman"/>
      <family val="1"/>
      <charset val="204"/>
    </font>
    <font>
      <sz val="11"/>
      <color indexed="8"/>
      <name val="Calibri"/>
      <family val="2"/>
      <charset val="204"/>
    </font>
    <font>
      <sz val="13"/>
      <name val="Times New Roman"/>
      <family val="1"/>
      <charset val="204"/>
    </font>
    <font>
      <sz val="13"/>
      <color indexed="9"/>
      <name val="Times New Roman"/>
      <family val="1"/>
      <charset val="204"/>
    </font>
    <font>
      <i/>
      <sz val="13"/>
      <name val="Times New Roman"/>
      <family val="1"/>
      <charset val="204"/>
    </font>
    <font>
      <i/>
      <sz val="13"/>
      <color indexed="9"/>
      <name val="Times New Roman"/>
      <family val="1"/>
      <charset val="204"/>
    </font>
    <font>
      <b/>
      <sz val="13"/>
      <color indexed="9"/>
      <name val="Times New Roman"/>
      <family val="1"/>
      <charset val="204"/>
    </font>
    <font>
      <b/>
      <sz val="11"/>
      <color indexed="8"/>
      <name val="Calibri"/>
      <family val="2"/>
      <charset val="204"/>
    </font>
    <font>
      <sz val="10"/>
      <name val="Arial"/>
      <family val="2"/>
      <charset val="204"/>
    </font>
    <font>
      <sz val="12"/>
      <color indexed="10"/>
      <name val="Times New Roman"/>
      <family val="1"/>
      <charset val="204"/>
    </font>
    <font>
      <sz val="13"/>
      <color indexed="9"/>
      <name val="Times New Roman"/>
      <family val="1"/>
      <charset val="204"/>
    </font>
    <font>
      <sz val="12"/>
      <color indexed="9"/>
      <name val="Times New Roman"/>
      <family val="1"/>
      <charset val="204"/>
    </font>
    <font>
      <sz val="13"/>
      <color indexed="10"/>
      <name val="Times New Roman"/>
      <family val="1"/>
      <charset val="204"/>
    </font>
    <font>
      <sz val="13"/>
      <name val="Times New Roman"/>
      <family val="1"/>
    </font>
    <font>
      <b/>
      <sz val="12"/>
      <color indexed="9"/>
      <name val="Times New Roman"/>
      <family val="1"/>
      <charset val="204"/>
    </font>
    <font>
      <b/>
      <sz val="13"/>
      <color indexed="8"/>
      <name val="Times New Roman"/>
      <family val="1"/>
      <charset val="204"/>
    </font>
  </fonts>
  <fills count="2">
    <fill>
      <patternFill patternType="none"/>
    </fill>
    <fill>
      <patternFill patternType="gray125"/>
    </fill>
  </fills>
  <borders count="3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8" fillId="0" borderId="0"/>
    <xf numFmtId="43" fontId="11" fillId="0" borderId="0" applyFont="0" applyFill="0" applyBorder="0" applyAlignment="0" applyProtection="0"/>
  </cellStyleXfs>
  <cellXfs count="271">
    <xf numFmtId="0" fontId="0" fillId="0" borderId="0" xfId="0"/>
    <xf numFmtId="0" fontId="1" fillId="0" borderId="0" xfId="0" applyFont="1" applyFill="1" applyBorder="1" applyAlignment="1">
      <alignment horizontal="justify" wrapText="1"/>
    </xf>
    <xf numFmtId="49" fontId="3" fillId="0" borderId="0" xfId="0" applyNumberFormat="1" applyFont="1" applyFill="1" applyBorder="1" applyAlignment="1">
      <alignment horizontal="justify" wrapText="1"/>
    </xf>
    <xf numFmtId="49" fontId="3" fillId="0" borderId="0" xfId="0" applyNumberFormat="1" applyFont="1" applyFill="1" applyAlignment="1">
      <alignment horizontal="center" wrapText="1"/>
    </xf>
    <xf numFmtId="0" fontId="5" fillId="0" borderId="0" xfId="0" applyFont="1" applyFill="1" applyAlignment="1">
      <alignment horizontal="center" wrapText="1"/>
    </xf>
    <xf numFmtId="0" fontId="3" fillId="0" borderId="0" xfId="0" applyFont="1" applyFill="1" applyAlignment="1">
      <alignment horizontal="center" wrapText="1"/>
    </xf>
    <xf numFmtId="0" fontId="12" fillId="0" borderId="0" xfId="0" applyFont="1" applyFill="1" applyAlignment="1">
      <alignment horizontal="left" vertical="top" wrapText="1"/>
    </xf>
    <xf numFmtId="0" fontId="13" fillId="0" borderId="0" xfId="0" applyFont="1" applyFill="1" applyAlignment="1">
      <alignment horizontal="left" vertical="top" wrapText="1"/>
    </xf>
    <xf numFmtId="0" fontId="12" fillId="0" borderId="0" xfId="0" applyFont="1" applyFill="1" applyAlignment="1">
      <alignment wrapText="1"/>
    </xf>
    <xf numFmtId="0" fontId="13" fillId="0" borderId="0" xfId="0" applyFont="1" applyFill="1" applyAlignment="1">
      <alignment wrapText="1"/>
    </xf>
    <xf numFmtId="0" fontId="4" fillId="0" borderId="0" xfId="0" applyFont="1" applyFill="1" applyBorder="1" applyAlignment="1">
      <alignment wrapText="1"/>
    </xf>
    <xf numFmtId="10" fontId="13" fillId="0" borderId="0" xfId="0" applyNumberFormat="1" applyFont="1" applyFill="1" applyAlignment="1">
      <alignment wrapText="1"/>
    </xf>
    <xf numFmtId="9" fontId="13" fillId="0" borderId="0" xfId="0" applyNumberFormat="1" applyFont="1" applyFill="1" applyAlignment="1">
      <alignment wrapText="1"/>
    </xf>
    <xf numFmtId="0" fontId="4" fillId="0" borderId="0" xfId="0" applyFont="1" applyFill="1" applyAlignment="1">
      <alignment wrapText="1"/>
    </xf>
    <xf numFmtId="165" fontId="4" fillId="0" borderId="0" xfId="2" applyNumberFormat="1" applyFont="1" applyFill="1" applyAlignment="1">
      <alignment wrapText="1"/>
    </xf>
    <xf numFmtId="10" fontId="13" fillId="0" borderId="0" xfId="0" applyNumberFormat="1" applyFont="1" applyFill="1" applyAlignment="1">
      <alignment horizontal="right" wrapText="1"/>
    </xf>
    <xf numFmtId="9" fontId="13" fillId="0" borderId="0" xfId="0" applyNumberFormat="1" applyFont="1" applyFill="1" applyAlignment="1">
      <alignment horizontal="right" wrapText="1"/>
    </xf>
    <xf numFmtId="0" fontId="13" fillId="0" borderId="0" xfId="0" applyFont="1" applyFill="1" applyAlignment="1">
      <alignment horizontal="right" wrapText="1"/>
    </xf>
    <xf numFmtId="0" fontId="12" fillId="0" borderId="0" xfId="0" applyFont="1" applyFill="1" applyAlignment="1">
      <alignment horizontal="right" wrapText="1"/>
    </xf>
    <xf numFmtId="0" fontId="12" fillId="0" borderId="0" xfId="0" applyFont="1" applyAlignment="1">
      <alignment horizontal="left" vertical="top" wrapText="1"/>
    </xf>
    <xf numFmtId="0" fontId="12" fillId="0" borderId="0" xfId="0" applyFont="1" applyFill="1"/>
    <xf numFmtId="0" fontId="4" fillId="0" borderId="0" xfId="0" applyFont="1" applyFill="1" applyBorder="1" applyAlignment="1">
      <alignment horizontal="center" vertical="center"/>
    </xf>
    <xf numFmtId="10" fontId="13" fillId="0" borderId="0" xfId="0" applyNumberFormat="1" applyFont="1" applyFill="1" applyAlignment="1"/>
    <xf numFmtId="9" fontId="13" fillId="0" borderId="0" xfId="0" applyNumberFormat="1" applyFont="1" applyFill="1"/>
    <xf numFmtId="0" fontId="12" fillId="0" borderId="0" xfId="0" applyFont="1" applyFill="1" applyAlignment="1">
      <alignment horizontal="center" vertical="center"/>
    </xf>
    <xf numFmtId="0" fontId="4" fillId="0" borderId="0" xfId="0" applyFont="1" applyFill="1" applyAlignment="1">
      <alignment horizontal="center" vertical="center"/>
    </xf>
    <xf numFmtId="0" fontId="14" fillId="0" borderId="0" xfId="0" applyFont="1" applyFill="1" applyAlignment="1">
      <alignment horizontal="right" wrapText="1"/>
    </xf>
    <xf numFmtId="0" fontId="14" fillId="0" borderId="0" xfId="0" applyFont="1" applyFill="1" applyAlignment="1">
      <alignment wrapText="1"/>
    </xf>
    <xf numFmtId="10" fontId="13" fillId="0" borderId="0" xfId="0" applyNumberFormat="1" applyFont="1" applyFill="1"/>
    <xf numFmtId="0" fontId="12" fillId="0" borderId="0" xfId="0" applyFont="1" applyFill="1" applyAlignment="1">
      <alignment horizontal="left"/>
    </xf>
    <xf numFmtId="0" fontId="13" fillId="0" borderId="0" xfId="0" applyFont="1" applyFill="1"/>
    <xf numFmtId="0" fontId="12" fillId="0" borderId="0" xfId="0" applyFont="1" applyFill="1" applyAlignment="1">
      <alignment horizontal="center"/>
    </xf>
    <xf numFmtId="0" fontId="14" fillId="0" borderId="0" xfId="0" applyFont="1" applyFill="1" applyBorder="1" applyAlignment="1">
      <alignment horizontal="left" vertical="top" wrapText="1"/>
    </xf>
    <xf numFmtId="165" fontId="14" fillId="0" borderId="0" xfId="2" applyNumberFormat="1" applyFont="1" applyFill="1" applyBorder="1" applyAlignment="1">
      <alignment wrapText="1"/>
    </xf>
    <xf numFmtId="10" fontId="15" fillId="0" borderId="0" xfId="0" applyNumberFormat="1" applyFont="1" applyFill="1" applyAlignment="1">
      <alignment wrapText="1"/>
    </xf>
    <xf numFmtId="9" fontId="15" fillId="0" borderId="0" xfId="0" applyNumberFormat="1" applyFont="1" applyFill="1" applyAlignment="1">
      <alignment wrapText="1"/>
    </xf>
    <xf numFmtId="165" fontId="14" fillId="0" borderId="0" xfId="2" applyNumberFormat="1" applyFont="1" applyFill="1" applyAlignment="1">
      <alignment wrapText="1"/>
    </xf>
    <xf numFmtId="10" fontId="15" fillId="0" borderId="0" xfId="0" applyNumberFormat="1" applyFont="1" applyFill="1" applyAlignment="1">
      <alignment horizontal="right" wrapText="1"/>
    </xf>
    <xf numFmtId="9" fontId="15" fillId="0" borderId="0" xfId="0" applyNumberFormat="1" applyFont="1" applyFill="1" applyAlignment="1">
      <alignment horizontal="right" wrapText="1"/>
    </xf>
    <xf numFmtId="0" fontId="14" fillId="0" borderId="0" xfId="0" applyFont="1" applyFill="1" applyAlignment="1">
      <alignment horizontal="center" vertical="center"/>
    </xf>
    <xf numFmtId="10" fontId="15" fillId="0" borderId="0" xfId="0" applyNumberFormat="1" applyFont="1" applyFill="1" applyAlignment="1"/>
    <xf numFmtId="9" fontId="15" fillId="0" borderId="0" xfId="0" applyNumberFormat="1" applyFont="1" applyFill="1"/>
    <xf numFmtId="0" fontId="14" fillId="0" borderId="0" xfId="0" applyFont="1" applyFill="1"/>
    <xf numFmtId="10" fontId="16" fillId="0" borderId="0" xfId="0" applyNumberFormat="1" applyFont="1" applyFill="1" applyAlignment="1"/>
    <xf numFmtId="9" fontId="16" fillId="0" borderId="0" xfId="0" applyNumberFormat="1" applyFont="1" applyFill="1"/>
    <xf numFmtId="0" fontId="4" fillId="0" borderId="0" xfId="0" applyFont="1" applyFill="1"/>
    <xf numFmtId="0" fontId="4" fillId="0" borderId="0" xfId="0" applyFont="1" applyFill="1" applyAlignment="1">
      <alignment horizontal="left" wrapText="1"/>
    </xf>
    <xf numFmtId="10" fontId="16" fillId="0" borderId="0" xfId="0" applyNumberFormat="1" applyFont="1" applyFill="1"/>
    <xf numFmtId="10" fontId="16" fillId="0" borderId="0" xfId="0" applyNumberFormat="1" applyFont="1" applyFill="1" applyAlignment="1">
      <alignment horizontal="right" wrapText="1"/>
    </xf>
    <xf numFmtId="9" fontId="16" fillId="0" borderId="0" xfId="0" applyNumberFormat="1" applyFont="1" applyFill="1" applyAlignment="1">
      <alignment horizontal="right" wrapText="1"/>
    </xf>
    <xf numFmtId="10" fontId="16" fillId="0" borderId="0" xfId="0" applyNumberFormat="1" applyFont="1" applyFill="1" applyAlignment="1">
      <alignment wrapText="1"/>
    </xf>
    <xf numFmtId="9" fontId="16" fillId="0" borderId="0" xfId="0" applyNumberFormat="1" applyFont="1" applyFill="1" applyAlignment="1">
      <alignment wrapText="1"/>
    </xf>
    <xf numFmtId="0" fontId="4" fillId="0" borderId="1" xfId="0" applyFont="1" applyFill="1" applyBorder="1" applyAlignment="1">
      <alignment horizontal="center" wrapText="1"/>
    </xf>
    <xf numFmtId="165" fontId="12" fillId="0" borderId="0" xfId="0" applyNumberFormat="1" applyFont="1" applyFill="1" applyAlignment="1">
      <alignment wrapText="1"/>
    </xf>
    <xf numFmtId="165" fontId="12" fillId="0" borderId="0" xfId="0" applyNumberFormat="1" applyFont="1" applyFill="1" applyBorder="1" applyAlignment="1">
      <alignment wrapText="1"/>
    </xf>
    <xf numFmtId="0" fontId="12" fillId="0" borderId="0" xfId="0" applyFont="1" applyFill="1" applyAlignment="1"/>
    <xf numFmtId="0" fontId="12" fillId="0" borderId="0" xfId="0" applyFont="1" applyAlignment="1">
      <alignment vertical="top" wrapText="1"/>
    </xf>
    <xf numFmtId="0" fontId="12" fillId="0" borderId="0" xfId="0" applyFont="1" applyAlignment="1">
      <alignment horizontal="center" vertical="top" wrapText="1"/>
    </xf>
    <xf numFmtId="0" fontId="12" fillId="0" borderId="0" xfId="0" applyFont="1" applyBorder="1" applyAlignment="1">
      <alignment horizontal="left" vertical="top" wrapText="1"/>
    </xf>
    <xf numFmtId="0" fontId="12" fillId="0" borderId="0" xfId="0" applyFont="1" applyAlignment="1">
      <alignment vertical="top"/>
    </xf>
    <xf numFmtId="0" fontId="13" fillId="0" borderId="0" xfId="0" applyFont="1" applyAlignment="1">
      <alignment vertical="top"/>
    </xf>
    <xf numFmtId="0" fontId="4" fillId="0" borderId="0" xfId="0" applyFont="1" applyAlignment="1">
      <alignment vertical="top"/>
    </xf>
    <xf numFmtId="0" fontId="4" fillId="0" borderId="1" xfId="0" applyFont="1" applyBorder="1" applyAlignment="1">
      <alignment horizontal="center" vertical="top"/>
    </xf>
    <xf numFmtId="10" fontId="13" fillId="0" borderId="0" xfId="0" applyNumberFormat="1" applyFont="1" applyAlignment="1">
      <alignment horizontal="left" vertical="top"/>
    </xf>
    <xf numFmtId="9" fontId="13" fillId="0" borderId="0" xfId="0" applyNumberFormat="1" applyFont="1" applyAlignment="1">
      <alignment horizontal="left" vertical="top"/>
    </xf>
    <xf numFmtId="0" fontId="12" fillId="0" borderId="0" xfId="0" applyFont="1" applyAlignment="1">
      <alignment horizontal="left" vertical="top"/>
    </xf>
    <xf numFmtId="0" fontId="16" fillId="0" borderId="0" xfId="0" applyFont="1" applyAlignment="1">
      <alignment horizontal="left" vertical="top"/>
    </xf>
    <xf numFmtId="0" fontId="4" fillId="0" borderId="0" xfId="0" applyFont="1" applyAlignment="1">
      <alignment horizontal="left" vertical="top"/>
    </xf>
    <xf numFmtId="165" fontId="12" fillId="0" borderId="0" xfId="0" applyNumberFormat="1" applyFont="1" applyAlignment="1">
      <alignment horizontal="left" vertical="top"/>
    </xf>
    <xf numFmtId="0" fontId="13" fillId="0" borderId="0" xfId="0" applyFont="1" applyAlignment="1">
      <alignment horizontal="left" vertical="top"/>
    </xf>
    <xf numFmtId="0" fontId="0" fillId="0" borderId="0" xfId="0" applyAlignment="1">
      <alignment vertical="top"/>
    </xf>
    <xf numFmtId="0" fontId="17" fillId="0" borderId="0" xfId="0" applyFont="1" applyAlignment="1">
      <alignment vertical="top"/>
    </xf>
    <xf numFmtId="0" fontId="13" fillId="0" borderId="0" xfId="0" applyFont="1" applyAlignment="1">
      <alignment horizontal="center" vertical="top"/>
    </xf>
    <xf numFmtId="0" fontId="12" fillId="0" borderId="0" xfId="0" applyFont="1" applyAlignment="1">
      <alignment horizontal="center" vertical="top"/>
    </xf>
    <xf numFmtId="10" fontId="13" fillId="0" borderId="0" xfId="0" applyNumberFormat="1" applyFont="1" applyBorder="1" applyAlignment="1">
      <alignment horizontal="left" vertical="top"/>
    </xf>
    <xf numFmtId="9" fontId="13" fillId="0" borderId="0" xfId="0" applyNumberFormat="1" applyFont="1" applyBorder="1" applyAlignment="1">
      <alignment horizontal="left" vertical="top"/>
    </xf>
    <xf numFmtId="0" fontId="12" fillId="0" borderId="0" xfId="0" applyFont="1" applyBorder="1" applyAlignment="1">
      <alignment horizontal="left" vertical="top"/>
    </xf>
    <xf numFmtId="0" fontId="13" fillId="0" borderId="0" xfId="0" applyFont="1" applyBorder="1" applyAlignment="1">
      <alignment horizontal="left" vertical="top"/>
    </xf>
    <xf numFmtId="0" fontId="16" fillId="0" borderId="0" xfId="0" applyFont="1" applyAlignment="1">
      <alignment vertical="top"/>
    </xf>
    <xf numFmtId="0" fontId="16" fillId="0" borderId="0" xfId="0" applyFont="1" applyAlignment="1">
      <alignment horizontal="center" vertical="top"/>
    </xf>
    <xf numFmtId="0" fontId="4" fillId="0" borderId="0" xfId="0" applyFont="1" applyAlignment="1">
      <alignment horizontal="center" vertical="top"/>
    </xf>
    <xf numFmtId="165" fontId="12" fillId="0" borderId="0" xfId="2" applyNumberFormat="1" applyFont="1" applyBorder="1" applyAlignment="1">
      <alignment horizontal="center" vertical="top" wrapText="1"/>
    </xf>
    <xf numFmtId="10" fontId="13" fillId="0" borderId="0" xfId="0" applyNumberFormat="1" applyFont="1" applyAlignment="1">
      <alignment horizontal="center" vertical="top"/>
    </xf>
    <xf numFmtId="0" fontId="16" fillId="0" borderId="0" xfId="0" applyFont="1" applyBorder="1" applyAlignment="1">
      <alignment horizontal="left" vertical="top"/>
    </xf>
    <xf numFmtId="0" fontId="4" fillId="0" borderId="0" xfId="0" applyFont="1" applyBorder="1" applyAlignment="1">
      <alignment horizontal="left" vertical="top"/>
    </xf>
    <xf numFmtId="0" fontId="1" fillId="0" borderId="1" xfId="0" applyFont="1" applyFill="1" applyBorder="1" applyAlignment="1">
      <alignment vertical="top" wrapText="1"/>
    </xf>
    <xf numFmtId="165" fontId="4" fillId="0" borderId="0" xfId="2" applyNumberFormat="1" applyFont="1" applyFill="1" applyAlignment="1">
      <alignment horizontal="center"/>
    </xf>
    <xf numFmtId="165" fontId="12" fillId="0" borderId="0" xfId="2" applyNumberFormat="1" applyFont="1" applyFill="1" applyAlignment="1">
      <alignment horizontal="center"/>
    </xf>
    <xf numFmtId="165" fontId="12" fillId="0" borderId="0" xfId="0" applyNumberFormat="1" applyFont="1" applyFill="1" applyAlignment="1">
      <alignment horizontal="center"/>
    </xf>
    <xf numFmtId="165" fontId="4" fillId="0" borderId="0" xfId="0" applyNumberFormat="1" applyFont="1" applyFill="1" applyAlignment="1">
      <alignment horizontal="center" vertical="center"/>
    </xf>
    <xf numFmtId="165" fontId="4" fillId="0" borderId="0" xfId="0" applyNumberFormat="1" applyFont="1" applyFill="1" applyAlignment="1">
      <alignment horizontal="center"/>
    </xf>
    <xf numFmtId="165" fontId="4" fillId="0" borderId="0" xfId="2" applyNumberFormat="1" applyFont="1" applyFill="1" applyBorder="1" applyAlignment="1">
      <alignment horizontal="center"/>
    </xf>
    <xf numFmtId="165" fontId="14" fillId="0" borderId="0" xfId="2" applyNumberFormat="1" applyFont="1" applyFill="1" applyAlignment="1">
      <alignment horizontal="center"/>
    </xf>
    <xf numFmtId="165" fontId="14" fillId="0" borderId="0" xfId="2" applyNumberFormat="1" applyFont="1" applyFill="1" applyBorder="1" applyAlignment="1">
      <alignment horizontal="center"/>
    </xf>
    <xf numFmtId="165" fontId="12" fillId="0" borderId="0" xfId="0" applyNumberFormat="1" applyFont="1" applyFill="1" applyAlignment="1" applyProtection="1">
      <alignment horizontal="center"/>
      <protection locked="0"/>
    </xf>
    <xf numFmtId="165" fontId="14" fillId="0" borderId="0" xfId="0" applyNumberFormat="1" applyFont="1" applyFill="1" applyAlignment="1">
      <alignment wrapText="1"/>
    </xf>
    <xf numFmtId="165" fontId="14" fillId="0" borderId="0" xfId="0" applyNumberFormat="1" applyFont="1" applyFill="1" applyBorder="1" applyAlignment="1">
      <alignment wrapText="1"/>
    </xf>
    <xf numFmtId="165" fontId="4" fillId="0" borderId="0" xfId="0" applyNumberFormat="1" applyFont="1" applyFill="1" applyAlignment="1">
      <alignment wrapText="1"/>
    </xf>
    <xf numFmtId="165" fontId="4" fillId="0" borderId="0" xfId="0" applyNumberFormat="1" applyFont="1" applyFill="1" applyBorder="1" applyAlignment="1">
      <alignment wrapText="1"/>
    </xf>
    <xf numFmtId="165" fontId="4" fillId="0" borderId="0" xfId="2" applyNumberFormat="1" applyFont="1" applyFill="1" applyBorder="1" applyAlignment="1">
      <alignment wrapText="1"/>
    </xf>
    <xf numFmtId="165" fontId="12" fillId="0" borderId="0" xfId="2" applyNumberFormat="1" applyFont="1" applyFill="1" applyAlignment="1">
      <alignment wrapText="1"/>
    </xf>
    <xf numFmtId="165" fontId="12" fillId="0" borderId="0" xfId="2" applyNumberFormat="1" applyFont="1" applyFill="1" applyBorder="1" applyAlignment="1">
      <alignment wrapText="1"/>
    </xf>
    <xf numFmtId="49" fontId="3" fillId="0" borderId="0" xfId="0" applyNumberFormat="1" applyFont="1" applyFill="1" applyBorder="1" applyAlignment="1">
      <alignment horizontal="center" wrapText="1"/>
    </xf>
    <xf numFmtId="49" fontId="3" fillId="0" borderId="0" xfId="0" applyNumberFormat="1" applyFont="1" applyFill="1" applyBorder="1" applyAlignment="1">
      <alignment wrapText="1"/>
    </xf>
    <xf numFmtId="0" fontId="4" fillId="0" borderId="0" xfId="0" applyFont="1" applyFill="1" applyBorder="1" applyAlignment="1">
      <alignment horizontal="center" wrapText="1"/>
    </xf>
    <xf numFmtId="0" fontId="4" fillId="0" borderId="1" xfId="0" applyFont="1" applyFill="1" applyBorder="1" applyAlignment="1">
      <alignment horizontal="center" vertical="center" wrapText="1"/>
    </xf>
    <xf numFmtId="0" fontId="4" fillId="0" borderId="0" xfId="0" applyFont="1" applyFill="1" applyAlignment="1">
      <alignment horizontal="center" wrapText="1"/>
    </xf>
    <xf numFmtId="0" fontId="4" fillId="0" borderId="1" xfId="0" applyFont="1" applyBorder="1" applyAlignment="1">
      <alignment horizontal="center" vertical="top" wrapText="1"/>
    </xf>
    <xf numFmtId="0" fontId="4" fillId="0" borderId="0" xfId="0" applyFont="1" applyAlignment="1">
      <alignment horizontal="center" vertical="top" wrapText="1"/>
    </xf>
    <xf numFmtId="165" fontId="3" fillId="0" borderId="0" xfId="0" applyNumberFormat="1" applyFont="1" applyFill="1" applyAlignment="1">
      <alignment horizontal="right" wrapText="1"/>
    </xf>
    <xf numFmtId="0" fontId="3" fillId="0" borderId="0" xfId="0" applyFont="1" applyFill="1" applyAlignment="1">
      <alignment horizontal="center" vertical="top" wrapText="1"/>
    </xf>
    <xf numFmtId="0" fontId="5" fillId="0" borderId="0" xfId="0" applyFont="1" applyFill="1" applyAlignment="1">
      <alignment horizontal="center" vertical="top" wrapText="1"/>
    </xf>
    <xf numFmtId="49" fontId="3" fillId="0" borderId="0" xfId="0" applyNumberFormat="1" applyFont="1" applyFill="1" applyAlignment="1">
      <alignment horizontal="center" vertical="top" wrapText="1"/>
    </xf>
    <xf numFmtId="164" fontId="5" fillId="0" borderId="0" xfId="0" applyNumberFormat="1" applyFont="1" applyFill="1" applyBorder="1" applyAlignment="1">
      <alignment horizontal="center" vertical="top" wrapText="1"/>
    </xf>
    <xf numFmtId="0" fontId="3" fillId="0" borderId="2" xfId="0" applyFont="1" applyFill="1" applyBorder="1" applyAlignment="1">
      <alignment vertical="top" wrapText="1"/>
    </xf>
    <xf numFmtId="49" fontId="3" fillId="0" borderId="1" xfId="0" applyNumberFormat="1" applyFont="1" applyFill="1" applyBorder="1" applyAlignment="1">
      <alignment vertical="top" wrapText="1"/>
    </xf>
    <xf numFmtId="165" fontId="3" fillId="0" borderId="3" xfId="0" applyNumberFormat="1" applyFont="1" applyFill="1" applyBorder="1" applyAlignment="1">
      <alignment vertical="top" wrapText="1"/>
    </xf>
    <xf numFmtId="0" fontId="3" fillId="0" borderId="0" xfId="0" applyFont="1" applyFill="1" applyAlignment="1">
      <alignment vertical="top" wrapText="1"/>
    </xf>
    <xf numFmtId="164" fontId="5" fillId="0" borderId="0" xfId="0" applyNumberFormat="1" applyFont="1" applyFill="1" applyBorder="1" applyAlignment="1">
      <alignment vertical="top" wrapText="1"/>
    </xf>
    <xf numFmtId="49" fontId="3" fillId="0" borderId="0" xfId="0" applyNumberFormat="1" applyFont="1" applyFill="1" applyAlignment="1">
      <alignment vertical="top" wrapText="1"/>
    </xf>
    <xf numFmtId="0" fontId="1" fillId="0" borderId="2" xfId="0" applyFont="1" applyFill="1" applyBorder="1" applyAlignment="1">
      <alignment vertical="top" wrapText="1"/>
    </xf>
    <xf numFmtId="49" fontId="1" fillId="0" borderId="1" xfId="0" applyNumberFormat="1" applyFont="1" applyFill="1" applyBorder="1" applyAlignment="1">
      <alignment vertical="top" wrapText="1"/>
    </xf>
    <xf numFmtId="165" fontId="1" fillId="0" borderId="3" xfId="0" applyNumberFormat="1" applyFont="1" applyFill="1" applyBorder="1" applyAlignment="1">
      <alignment vertical="top" wrapText="1"/>
    </xf>
    <xf numFmtId="0" fontId="1" fillId="0" borderId="0" xfId="0" applyFont="1" applyFill="1" applyAlignment="1">
      <alignment vertical="top" wrapText="1"/>
    </xf>
    <xf numFmtId="164" fontId="2" fillId="0" borderId="0" xfId="0" applyNumberFormat="1" applyFont="1" applyFill="1" applyBorder="1" applyAlignment="1">
      <alignment vertical="top" wrapText="1"/>
    </xf>
    <xf numFmtId="49" fontId="1" fillId="0" borderId="0" xfId="0" applyNumberFormat="1" applyFont="1" applyFill="1" applyAlignment="1">
      <alignment vertical="top" wrapText="1"/>
    </xf>
    <xf numFmtId="0" fontId="6" fillId="0" borderId="2" xfId="0" applyFont="1" applyFill="1" applyBorder="1" applyAlignment="1">
      <alignment vertical="top" wrapText="1"/>
    </xf>
    <xf numFmtId="2" fontId="1" fillId="0" borderId="1" xfId="0" applyNumberFormat="1" applyFont="1" applyFill="1" applyBorder="1" applyAlignment="1">
      <alignment vertical="top"/>
    </xf>
    <xf numFmtId="0" fontId="8" fillId="0" borderId="2" xfId="0" applyFont="1" applyFill="1" applyBorder="1" applyAlignment="1">
      <alignment vertical="top" wrapText="1"/>
    </xf>
    <xf numFmtId="49" fontId="1" fillId="0" borderId="1" xfId="0" applyNumberFormat="1" applyFont="1" applyFill="1" applyBorder="1" applyAlignment="1">
      <alignment vertical="top"/>
    </xf>
    <xf numFmtId="167" fontId="1" fillId="0" borderId="1" xfId="1" applyNumberFormat="1" applyFont="1" applyFill="1" applyBorder="1" applyAlignment="1" applyProtection="1">
      <alignment vertical="top" wrapText="1"/>
      <protection hidden="1"/>
    </xf>
    <xf numFmtId="165" fontId="1" fillId="0" borderId="3" xfId="1" applyNumberFormat="1" applyFont="1" applyFill="1" applyBorder="1" applyAlignment="1" applyProtection="1">
      <alignment vertical="top" wrapText="1"/>
      <protection hidden="1"/>
    </xf>
    <xf numFmtId="0" fontId="10" fillId="0" borderId="2" xfId="0" applyFont="1" applyFill="1" applyBorder="1" applyAlignment="1">
      <alignment vertical="top" wrapText="1"/>
    </xf>
    <xf numFmtId="0" fontId="3" fillId="0" borderId="1" xfId="0" applyFont="1" applyFill="1" applyBorder="1" applyAlignment="1">
      <alignment vertical="top" wrapText="1"/>
    </xf>
    <xf numFmtId="0" fontId="1" fillId="0" borderId="4" xfId="0" applyFont="1" applyFill="1" applyBorder="1" applyAlignment="1">
      <alignment vertical="top" wrapText="1"/>
    </xf>
    <xf numFmtId="49" fontId="6" fillId="0" borderId="1" xfId="0" applyNumberFormat="1" applyFont="1" applyFill="1" applyBorder="1" applyAlignment="1">
      <alignment vertical="top"/>
    </xf>
    <xf numFmtId="166" fontId="1" fillId="0" borderId="3" xfId="0" applyNumberFormat="1" applyFont="1" applyFill="1" applyBorder="1" applyAlignment="1">
      <alignment vertical="top" wrapText="1"/>
    </xf>
    <xf numFmtId="166" fontId="3" fillId="0" borderId="3" xfId="0" applyNumberFormat="1" applyFont="1" applyFill="1" applyBorder="1" applyAlignment="1">
      <alignment vertical="top" wrapText="1"/>
    </xf>
    <xf numFmtId="49" fontId="7" fillId="0" borderId="1" xfId="0" applyNumberFormat="1" applyFont="1" applyFill="1" applyBorder="1" applyAlignment="1">
      <alignment vertical="top" wrapText="1"/>
    </xf>
    <xf numFmtId="2" fontId="1" fillId="0" borderId="0" xfId="0" applyNumberFormat="1" applyFont="1" applyFill="1" applyAlignment="1">
      <alignment vertical="top" wrapText="1"/>
    </xf>
    <xf numFmtId="0" fontId="3" fillId="0" borderId="4" xfId="0" applyFont="1" applyFill="1" applyBorder="1" applyAlignment="1">
      <alignment vertical="top" wrapText="1"/>
    </xf>
    <xf numFmtId="49" fontId="3" fillId="0" borderId="1" xfId="0" applyNumberFormat="1" applyFont="1" applyFill="1" applyBorder="1" applyAlignment="1">
      <alignment vertical="top"/>
    </xf>
    <xf numFmtId="0" fontId="3" fillId="0" borderId="5" xfId="0" applyFont="1" applyFill="1" applyBorder="1" applyAlignment="1">
      <alignment vertical="top" wrapText="1"/>
    </xf>
    <xf numFmtId="49" fontId="3" fillId="0" borderId="6" xfId="0" applyNumberFormat="1" applyFont="1" applyFill="1" applyBorder="1" applyAlignment="1">
      <alignment vertical="top" wrapText="1"/>
    </xf>
    <xf numFmtId="165" fontId="3" fillId="0" borderId="7" xfId="0" applyNumberFormat="1" applyFont="1" applyFill="1" applyBorder="1" applyAlignment="1">
      <alignment vertical="top" wrapText="1"/>
    </xf>
    <xf numFmtId="0" fontId="1" fillId="0" borderId="0" xfId="0" applyFont="1" applyFill="1" applyBorder="1" applyAlignment="1">
      <alignment horizontal="left" vertical="top" wrapText="1"/>
    </xf>
    <xf numFmtId="165" fontId="1" fillId="0" borderId="0" xfId="0" applyNumberFormat="1" applyFont="1" applyFill="1" applyAlignment="1">
      <alignment horizontal="right" vertical="top" wrapText="1"/>
    </xf>
    <xf numFmtId="0" fontId="1" fillId="0" borderId="0" xfId="0" applyFont="1" applyFill="1" applyAlignment="1">
      <alignment horizontal="left" vertical="top" wrapText="1"/>
    </xf>
    <xf numFmtId="0" fontId="2" fillId="0" borderId="0" xfId="0" applyFont="1" applyFill="1" applyAlignment="1">
      <alignment horizontal="left" vertical="top" wrapText="1"/>
    </xf>
    <xf numFmtId="49" fontId="1" fillId="0" borderId="0" xfId="0" applyNumberFormat="1" applyFont="1" applyFill="1" applyAlignment="1">
      <alignment horizontal="left" vertical="top" wrapText="1"/>
    </xf>
    <xf numFmtId="0" fontId="1" fillId="0" borderId="0" xfId="0" applyFont="1" applyFill="1" applyBorder="1" applyAlignment="1">
      <alignment horizontal="left" wrapText="1"/>
    </xf>
    <xf numFmtId="49" fontId="1" fillId="0" borderId="0" xfId="0" applyNumberFormat="1" applyFont="1" applyFill="1" applyBorder="1" applyAlignment="1">
      <alignment horizontal="left" wrapText="1"/>
    </xf>
    <xf numFmtId="165" fontId="1" fillId="0" borderId="0" xfId="0" applyNumberFormat="1" applyFont="1" applyFill="1" applyAlignment="1">
      <alignment horizontal="right" wrapText="1"/>
    </xf>
    <xf numFmtId="0" fontId="1" fillId="0" borderId="0" xfId="0" applyFont="1" applyFill="1" applyAlignment="1">
      <alignment horizontal="left" wrapText="1"/>
    </xf>
    <xf numFmtId="0" fontId="2" fillId="0" borderId="0" xfId="0" applyFont="1" applyFill="1" applyAlignment="1">
      <alignment horizontal="left" wrapText="1"/>
    </xf>
    <xf numFmtId="49" fontId="1" fillId="0" borderId="0" xfId="0" applyNumberFormat="1" applyFont="1" applyFill="1" applyAlignment="1">
      <alignment horizontal="left" wrapText="1"/>
    </xf>
    <xf numFmtId="0" fontId="3" fillId="0" borderId="0" xfId="0" applyFont="1" applyFill="1" applyBorder="1" applyAlignment="1">
      <alignment horizontal="right" wrapText="1"/>
    </xf>
    <xf numFmtId="165" fontId="3" fillId="0" borderId="1" xfId="0" applyNumberFormat="1" applyFont="1" applyFill="1" applyBorder="1" applyAlignment="1">
      <alignment vertical="top" wrapText="1"/>
    </xf>
    <xf numFmtId="165" fontId="1" fillId="0" borderId="1" xfId="0" applyNumberFormat="1" applyFont="1" applyFill="1" applyBorder="1" applyAlignment="1">
      <alignment vertical="top" wrapText="1"/>
    </xf>
    <xf numFmtId="165" fontId="1" fillId="0" borderId="1" xfId="1" applyNumberFormat="1" applyFont="1" applyFill="1" applyBorder="1" applyAlignment="1" applyProtection="1">
      <alignment vertical="top" wrapText="1"/>
      <protection hidden="1"/>
    </xf>
    <xf numFmtId="166" fontId="1" fillId="0" borderId="1" xfId="0" applyNumberFormat="1" applyFont="1" applyFill="1" applyBorder="1" applyAlignment="1">
      <alignment vertical="top" wrapText="1"/>
    </xf>
    <xf numFmtId="166" fontId="3" fillId="0" borderId="1" xfId="0" applyNumberFormat="1" applyFont="1" applyFill="1" applyBorder="1" applyAlignment="1">
      <alignment vertical="top" wrapText="1"/>
    </xf>
    <xf numFmtId="0" fontId="1" fillId="0" borderId="8" xfId="0" applyFont="1" applyFill="1" applyBorder="1" applyAlignment="1">
      <alignment vertical="top" wrapText="1"/>
    </xf>
    <xf numFmtId="0" fontId="3" fillId="0" borderId="8" xfId="0" applyFont="1" applyFill="1" applyBorder="1" applyAlignment="1">
      <alignment vertical="top" wrapText="1"/>
    </xf>
    <xf numFmtId="0" fontId="6" fillId="0" borderId="9" xfId="0" applyFont="1" applyFill="1" applyBorder="1" applyAlignment="1">
      <alignment vertical="top" wrapText="1"/>
    </xf>
    <xf numFmtId="165" fontId="3" fillId="0" borderId="6" xfId="0" applyNumberFormat="1" applyFont="1" applyFill="1" applyBorder="1" applyAlignment="1">
      <alignment vertical="top" wrapText="1"/>
    </xf>
    <xf numFmtId="49" fontId="3" fillId="0" borderId="10" xfId="0" applyNumberFormat="1" applyFont="1" applyFill="1" applyBorder="1" applyAlignment="1">
      <alignment vertical="top" wrapText="1"/>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165" fontId="3" fillId="0" borderId="10" xfId="0" applyNumberFormat="1" applyFont="1" applyFill="1" applyBorder="1" applyAlignment="1">
      <alignment vertical="top" wrapText="1"/>
    </xf>
    <xf numFmtId="165" fontId="3" fillId="0" borderId="13" xfId="0" applyNumberFormat="1" applyFont="1" applyFill="1" applyBorder="1" applyAlignment="1">
      <alignment vertical="top" wrapText="1"/>
    </xf>
    <xf numFmtId="0" fontId="3" fillId="0" borderId="14" xfId="0" applyFont="1" applyFill="1" applyBorder="1" applyAlignment="1">
      <alignment horizontal="center" wrapText="1"/>
    </xf>
    <xf numFmtId="49" fontId="3" fillId="0" borderId="15" xfId="0" applyNumberFormat="1" applyFont="1" applyFill="1" applyBorder="1" applyAlignment="1">
      <alignment horizontal="center" wrapText="1"/>
    </xf>
    <xf numFmtId="49" fontId="3" fillId="0" borderId="15" xfId="0" applyNumberFormat="1" applyFont="1" applyFill="1" applyBorder="1" applyAlignment="1">
      <alignment horizontal="center" vertical="top" wrapText="1"/>
    </xf>
    <xf numFmtId="0" fontId="3" fillId="0" borderId="15" xfId="0" applyFont="1" applyFill="1" applyBorder="1" applyAlignment="1">
      <alignment horizontal="center" wrapText="1"/>
    </xf>
    <xf numFmtId="0" fontId="3" fillId="0" borderId="16" xfId="0" applyFont="1" applyFill="1" applyBorder="1" applyAlignment="1">
      <alignment horizontal="center" wrapText="1"/>
    </xf>
    <xf numFmtId="0" fontId="3" fillId="0" borderId="17" xfId="0" applyFont="1" applyFill="1" applyBorder="1" applyAlignment="1">
      <alignment horizontal="center" wrapText="1"/>
    </xf>
    <xf numFmtId="2" fontId="3" fillId="0" borderId="1" xfId="0" applyNumberFormat="1" applyFont="1" applyFill="1" applyBorder="1" applyAlignment="1">
      <alignment vertical="top"/>
    </xf>
    <xf numFmtId="165" fontId="19" fillId="0" borderId="1" xfId="0" applyNumberFormat="1" applyFont="1" applyFill="1" applyBorder="1" applyAlignment="1">
      <alignment vertical="top" wrapText="1"/>
    </xf>
    <xf numFmtId="165" fontId="19" fillId="0" borderId="3" xfId="0" applyNumberFormat="1" applyFont="1" applyFill="1" applyBorder="1" applyAlignment="1">
      <alignment vertical="top" wrapText="1"/>
    </xf>
    <xf numFmtId="0" fontId="20" fillId="0" borderId="0" xfId="0" applyFont="1" applyFill="1" applyAlignment="1">
      <alignment horizontal="left"/>
    </xf>
    <xf numFmtId="0" fontId="20" fillId="0" borderId="0" xfId="0" applyFont="1" applyFill="1"/>
    <xf numFmtId="0" fontId="21" fillId="0" borderId="0" xfId="0" applyFont="1" applyFill="1"/>
    <xf numFmtId="0" fontId="22" fillId="0" borderId="0" xfId="0" applyFont="1" applyFill="1" applyAlignment="1">
      <alignment wrapText="1"/>
    </xf>
    <xf numFmtId="0" fontId="22" fillId="0" borderId="0" xfId="0" applyFont="1" applyFill="1" applyAlignment="1">
      <alignment horizontal="left"/>
    </xf>
    <xf numFmtId="0" fontId="22" fillId="0" borderId="0" xfId="0" applyFont="1" applyFill="1"/>
    <xf numFmtId="0" fontId="22" fillId="0" borderId="0" xfId="0" applyFont="1" applyFill="1" applyAlignment="1">
      <alignment horizontal="center"/>
    </xf>
    <xf numFmtId="0" fontId="12" fillId="0" borderId="0" xfId="0" applyFont="1" applyFill="1" applyAlignment="1">
      <alignment horizontal="left" wrapText="1"/>
    </xf>
    <xf numFmtId="0" fontId="12" fillId="0" borderId="0" xfId="0" applyFont="1" applyFill="1" applyAlignment="1">
      <alignment horizontal="center" wrapText="1"/>
    </xf>
    <xf numFmtId="0" fontId="14" fillId="0" borderId="0" xfId="0" applyFont="1" applyFill="1" applyAlignment="1">
      <alignment horizontal="center" wrapText="1"/>
    </xf>
    <xf numFmtId="0" fontId="3" fillId="0" borderId="0" xfId="0" applyFont="1" applyBorder="1" applyAlignment="1">
      <alignment horizontal="left" wrapText="1"/>
    </xf>
    <xf numFmtId="0" fontId="23" fillId="0" borderId="0" xfId="0" applyFont="1" applyBorder="1" applyAlignment="1">
      <alignment horizontal="left" wrapText="1"/>
    </xf>
    <xf numFmtId="43" fontId="9" fillId="0" borderId="0" xfId="2" applyFont="1" applyBorder="1" applyAlignment="1">
      <alignment horizontal="center" wrapText="1"/>
    </xf>
    <xf numFmtId="43" fontId="12" fillId="0" borderId="0" xfId="2" applyFont="1" applyAlignment="1">
      <alignment horizontal="center"/>
    </xf>
    <xf numFmtId="43" fontId="3" fillId="0" borderId="0" xfId="2" applyFont="1" applyBorder="1" applyAlignment="1">
      <alignment horizontal="center" wrapText="1"/>
    </xf>
    <xf numFmtId="43" fontId="4" fillId="0" borderId="0" xfId="2" applyFont="1" applyBorder="1" applyAlignment="1">
      <alignment horizontal="center" wrapText="1"/>
    </xf>
    <xf numFmtId="0" fontId="4" fillId="0" borderId="0" xfId="0" applyFont="1" applyAlignment="1">
      <alignment horizontal="left" vertical="top" wrapText="1"/>
    </xf>
    <xf numFmtId="0" fontId="4" fillId="0" borderId="1" xfId="0" applyFont="1" applyBorder="1" applyAlignment="1">
      <alignment horizontal="center" vertical="center"/>
    </xf>
    <xf numFmtId="0" fontId="12" fillId="0" borderId="0" xfId="0" applyFont="1" applyBorder="1" applyAlignment="1">
      <alignment horizontal="left" wrapText="1"/>
    </xf>
    <xf numFmtId="165" fontId="12" fillId="0" borderId="0" xfId="0" applyNumberFormat="1" applyFont="1" applyBorder="1" applyAlignment="1">
      <alignment horizontal="center" wrapText="1"/>
    </xf>
    <xf numFmtId="0" fontId="4" fillId="0" borderId="0" xfId="0" applyFont="1" applyBorder="1" applyAlignment="1">
      <alignment horizontal="left" wrapText="1"/>
    </xf>
    <xf numFmtId="165" fontId="4" fillId="0" borderId="0" xfId="0" applyNumberFormat="1" applyFont="1" applyFill="1" applyBorder="1" applyAlignment="1">
      <alignment horizontal="center" wrapText="1"/>
    </xf>
    <xf numFmtId="165" fontId="12" fillId="0" borderId="0" xfId="2" applyNumberFormat="1" applyFont="1" applyBorder="1" applyAlignment="1">
      <alignment horizontal="center" wrapText="1"/>
    </xf>
    <xf numFmtId="165" fontId="4" fillId="0" borderId="0" xfId="2" applyNumberFormat="1" applyFont="1" applyBorder="1" applyAlignment="1">
      <alignment horizontal="center" wrapText="1"/>
    </xf>
    <xf numFmtId="165" fontId="4" fillId="0" borderId="0" xfId="0" applyNumberFormat="1" applyFont="1" applyBorder="1" applyAlignment="1">
      <alignment horizontal="center" wrapText="1"/>
    </xf>
    <xf numFmtId="49" fontId="1" fillId="0" borderId="0" xfId="0" applyNumberFormat="1" applyFont="1" applyFill="1" applyBorder="1" applyAlignment="1">
      <alignment horizontal="left" vertical="top" wrapText="1"/>
    </xf>
    <xf numFmtId="0" fontId="3" fillId="0" borderId="0" xfId="0" applyFont="1" applyFill="1" applyBorder="1" applyAlignment="1">
      <alignment horizontal="center" wrapText="1"/>
    </xf>
    <xf numFmtId="0" fontId="4" fillId="0" borderId="0" xfId="0" applyFont="1" applyFill="1" applyAlignment="1">
      <alignment vertical="center" wrapText="1"/>
    </xf>
    <xf numFmtId="49" fontId="24" fillId="0" borderId="0" xfId="0" applyNumberFormat="1" applyFont="1" applyFill="1" applyBorder="1" applyAlignment="1">
      <alignment wrapText="1"/>
    </xf>
    <xf numFmtId="0" fontId="1" fillId="0" borderId="0" xfId="0" applyFont="1" applyAlignment="1">
      <alignment horizontal="right"/>
    </xf>
    <xf numFmtId="0" fontId="1" fillId="0" borderId="0" xfId="0" applyFont="1" applyAlignment="1">
      <alignment horizontal="right" vertical="top"/>
    </xf>
    <xf numFmtId="0" fontId="3" fillId="0" borderId="18" xfId="0" applyFont="1" applyFill="1" applyBorder="1" applyAlignment="1">
      <alignment vertical="center" wrapText="1"/>
    </xf>
    <xf numFmtId="0" fontId="3" fillId="0" borderId="2" xfId="0" applyFont="1" applyFill="1" applyBorder="1" applyAlignment="1">
      <alignment vertical="center" wrapText="1"/>
    </xf>
    <xf numFmtId="165" fontId="12" fillId="0" borderId="0" xfId="2" applyNumberFormat="1" applyFont="1" applyFill="1" applyBorder="1" applyAlignment="1">
      <alignment horizontal="center"/>
    </xf>
    <xf numFmtId="0" fontId="1" fillId="0" borderId="2" xfId="0" applyNumberFormat="1" applyFont="1" applyFill="1" applyBorder="1" applyAlignment="1">
      <alignment vertical="top" wrapText="1"/>
    </xf>
    <xf numFmtId="49" fontId="1" fillId="0" borderId="8" xfId="0" applyNumberFormat="1" applyFont="1" applyFill="1" applyBorder="1" applyAlignment="1">
      <alignment vertical="top" wrapText="1"/>
    </xf>
    <xf numFmtId="0" fontId="8" fillId="0" borderId="2" xfId="0" applyFont="1" applyFill="1" applyBorder="1" applyAlignment="1">
      <alignment vertical="center" wrapText="1"/>
    </xf>
    <xf numFmtId="165" fontId="21" fillId="0" borderId="0" xfId="0" applyNumberFormat="1" applyFont="1" applyFill="1" applyAlignment="1">
      <alignment horizontal="right" vertical="top" wrapText="1"/>
    </xf>
    <xf numFmtId="0" fontId="21" fillId="0" borderId="0" xfId="0" applyFont="1" applyFill="1" applyAlignment="1">
      <alignment horizontal="left" vertical="top" wrapText="1"/>
    </xf>
    <xf numFmtId="49" fontId="21" fillId="0" borderId="0" xfId="0" applyNumberFormat="1" applyFont="1" applyFill="1" applyBorder="1" applyAlignment="1">
      <alignment horizontal="left" vertical="top" wrapText="1"/>
    </xf>
    <xf numFmtId="49" fontId="21" fillId="0" borderId="0" xfId="0" applyNumberFormat="1" applyFont="1" applyFill="1" applyBorder="1" applyAlignment="1">
      <alignment horizontal="left" wrapText="1"/>
    </xf>
    <xf numFmtId="0" fontId="4" fillId="0" borderId="1" xfId="0" applyFont="1" applyFill="1" applyBorder="1" applyAlignment="1">
      <alignment horizontal="center" vertical="center"/>
    </xf>
    <xf numFmtId="165" fontId="21" fillId="0" borderId="0" xfId="0" applyNumberFormat="1" applyFont="1" applyFill="1" applyBorder="1" applyAlignment="1">
      <alignment horizontal="right" vertical="top" wrapText="1"/>
    </xf>
    <xf numFmtId="0" fontId="21" fillId="0" borderId="0" xfId="0" applyFont="1" applyFill="1" applyBorder="1" applyAlignment="1">
      <alignment horizontal="left" vertical="top" wrapText="1"/>
    </xf>
    <xf numFmtId="165" fontId="21" fillId="0" borderId="0" xfId="0" applyNumberFormat="1" applyFont="1" applyFill="1" applyBorder="1" applyAlignment="1">
      <alignment horizontal="right" wrapText="1"/>
    </xf>
    <xf numFmtId="0" fontId="21" fillId="0" borderId="0" xfId="0" applyFont="1" applyFill="1" applyBorder="1" applyAlignment="1">
      <alignment horizontal="left" wrapText="1"/>
    </xf>
    <xf numFmtId="165" fontId="1" fillId="0" borderId="0" xfId="0" applyNumberFormat="1" applyFont="1" applyFill="1" applyBorder="1" applyAlignment="1">
      <alignment horizontal="right" wrapText="1"/>
    </xf>
    <xf numFmtId="0" fontId="2" fillId="0" borderId="0" xfId="0" applyFont="1" applyFill="1" applyBorder="1" applyAlignment="1">
      <alignment horizontal="left" wrapText="1"/>
    </xf>
    <xf numFmtId="0" fontId="0" fillId="0" borderId="0" xfId="0" applyFill="1"/>
    <xf numFmtId="0" fontId="17" fillId="0" borderId="0" xfId="0" applyFont="1" applyFill="1"/>
    <xf numFmtId="0" fontId="4" fillId="0" borderId="1" xfId="0" applyFont="1" applyFill="1" applyBorder="1" applyAlignment="1">
      <alignment horizontal="center"/>
    </xf>
    <xf numFmtId="49" fontId="21" fillId="0" borderId="0" xfId="0" applyNumberFormat="1" applyFont="1" applyFill="1" applyBorder="1" applyAlignment="1">
      <alignment vertical="top" wrapText="1"/>
    </xf>
    <xf numFmtId="0" fontId="3" fillId="0" borderId="30" xfId="0" applyFont="1" applyFill="1" applyBorder="1" applyAlignment="1">
      <alignment horizontal="center" wrapText="1"/>
    </xf>
    <xf numFmtId="0" fontId="3" fillId="0" borderId="31" xfId="0" applyFont="1" applyFill="1" applyBorder="1" applyAlignment="1">
      <alignment horizontal="center" wrapText="1"/>
    </xf>
    <xf numFmtId="49" fontId="1" fillId="0" borderId="0" xfId="0" applyNumberFormat="1" applyFont="1" applyFill="1" applyBorder="1" applyAlignment="1">
      <alignment horizontal="right" wrapText="1"/>
    </xf>
    <xf numFmtId="49" fontId="3" fillId="0" borderId="0" xfId="0" applyNumberFormat="1" applyFont="1" applyFill="1" applyBorder="1" applyAlignment="1">
      <alignment horizontal="left" wrapText="1"/>
    </xf>
    <xf numFmtId="0" fontId="3" fillId="0" borderId="0" xfId="0" applyFont="1" applyFill="1" applyBorder="1" applyAlignment="1">
      <alignment horizontal="center" wrapText="1"/>
    </xf>
    <xf numFmtId="0" fontId="3" fillId="0" borderId="0" xfId="0" applyFont="1" applyFill="1" applyAlignment="1">
      <alignment horizontal="left" vertical="top" wrapText="1"/>
    </xf>
    <xf numFmtId="49" fontId="3" fillId="0" borderId="25" xfId="0" applyNumberFormat="1" applyFont="1" applyFill="1" applyBorder="1" applyAlignment="1">
      <alignment horizontal="center" vertical="center" wrapText="1"/>
    </xf>
    <xf numFmtId="49" fontId="3" fillId="0" borderId="26" xfId="0" applyNumberFormat="1" applyFont="1" applyFill="1" applyBorder="1" applyAlignment="1">
      <alignment horizontal="center" vertical="center" wrapText="1"/>
    </xf>
    <xf numFmtId="49" fontId="3" fillId="0" borderId="27" xfId="0" applyNumberFormat="1" applyFont="1" applyFill="1" applyBorder="1" applyAlignment="1">
      <alignment horizontal="center" vertical="center" wrapText="1"/>
    </xf>
    <xf numFmtId="49" fontId="3" fillId="0" borderId="28" xfId="0" applyNumberFormat="1" applyFont="1" applyFill="1" applyBorder="1" applyAlignment="1">
      <alignment horizontal="center" vertical="center" wrapText="1"/>
    </xf>
    <xf numFmtId="49" fontId="3" fillId="0" borderId="0" xfId="0" applyNumberFormat="1" applyFont="1" applyFill="1" applyBorder="1" applyAlignment="1">
      <alignment horizontal="center" vertical="center" wrapText="1"/>
    </xf>
    <xf numFmtId="49" fontId="3" fillId="0" borderId="29" xfId="0" applyNumberFormat="1" applyFont="1" applyFill="1" applyBorder="1" applyAlignment="1">
      <alignment horizontal="center" vertical="center" wrapText="1"/>
    </xf>
    <xf numFmtId="49" fontId="3" fillId="0" borderId="21" xfId="0" applyNumberFormat="1" applyFont="1" applyFill="1" applyBorder="1" applyAlignment="1">
      <alignment horizontal="center" vertical="center" wrapText="1"/>
    </xf>
    <xf numFmtId="49" fontId="3" fillId="0" borderId="22" xfId="0" applyNumberFormat="1"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2" xfId="0" applyFont="1" applyFill="1" applyBorder="1" applyAlignment="1">
      <alignment horizontal="center" vertical="center" wrapText="1"/>
    </xf>
    <xf numFmtId="49" fontId="21" fillId="0" borderId="0" xfId="0" applyNumberFormat="1" applyFont="1" applyFill="1" applyBorder="1" applyAlignment="1">
      <alignment horizontal="center" vertical="top" wrapText="1"/>
    </xf>
    <xf numFmtId="0" fontId="3" fillId="0" borderId="19" xfId="0" applyFont="1" applyFill="1" applyBorder="1" applyAlignment="1">
      <alignment horizontal="center" vertical="center" wrapText="1"/>
    </xf>
    <xf numFmtId="0" fontId="3" fillId="0" borderId="20" xfId="0" applyFont="1" applyFill="1" applyBorder="1" applyAlignment="1">
      <alignment horizontal="center" vertical="center" wrapText="1"/>
    </xf>
    <xf numFmtId="49" fontId="3" fillId="0" borderId="23" xfId="0" applyNumberFormat="1" applyFont="1" applyFill="1" applyBorder="1" applyAlignment="1">
      <alignment horizontal="center" vertical="top" wrapText="1"/>
    </xf>
    <xf numFmtId="49" fontId="3" fillId="0" borderId="24" xfId="0" applyNumberFormat="1" applyFont="1" applyFill="1" applyBorder="1" applyAlignment="1">
      <alignment horizontal="center" vertical="top" wrapText="1"/>
    </xf>
    <xf numFmtId="49" fontId="3" fillId="0" borderId="16" xfId="0" applyNumberFormat="1" applyFont="1" applyFill="1" applyBorder="1" applyAlignment="1">
      <alignment horizontal="center" vertical="top" wrapText="1"/>
    </xf>
    <xf numFmtId="0" fontId="3" fillId="0" borderId="0" xfId="0" applyFont="1" applyFill="1" applyBorder="1" applyAlignment="1">
      <alignment horizontal="left" vertical="top" wrapText="1"/>
    </xf>
    <xf numFmtId="0" fontId="4" fillId="0" borderId="0" xfId="0" applyFont="1" applyFill="1" applyAlignment="1">
      <alignment wrapText="1"/>
    </xf>
    <xf numFmtId="0" fontId="4" fillId="0" borderId="0" xfId="0" applyFont="1" applyFill="1" applyAlignment="1">
      <alignment horizontal="center" wrapText="1"/>
    </xf>
    <xf numFmtId="0" fontId="4" fillId="0" borderId="0" xfId="0" applyFont="1" applyFill="1" applyAlignment="1">
      <alignment horizontal="left" vertical="top" wrapText="1"/>
    </xf>
    <xf numFmtId="0" fontId="4" fillId="0" borderId="1" xfId="0" applyFont="1" applyFill="1" applyBorder="1" applyAlignment="1">
      <alignment horizont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25" fillId="0" borderId="0" xfId="0" applyFont="1" applyFill="1" applyAlignment="1">
      <alignment horizontal="left" wrapText="1"/>
    </xf>
    <xf numFmtId="0" fontId="22" fillId="0" borderId="0" xfId="0" applyFont="1" applyFill="1" applyAlignment="1">
      <alignment horizontal="left" wrapText="1"/>
    </xf>
    <xf numFmtId="165" fontId="12" fillId="0" borderId="0" xfId="2" applyNumberFormat="1" applyFont="1" applyFill="1" applyBorder="1" applyAlignment="1">
      <alignment horizontal="center"/>
    </xf>
    <xf numFmtId="0" fontId="4" fillId="0" borderId="0" xfId="0" applyFont="1" applyAlignment="1">
      <alignment horizontal="center" vertical="top" wrapText="1"/>
    </xf>
    <xf numFmtId="0" fontId="4" fillId="0" borderId="0" xfId="0" applyFont="1" applyAlignment="1">
      <alignment horizontal="left" vertical="top" wrapText="1"/>
    </xf>
    <xf numFmtId="0" fontId="4" fillId="0" borderId="1" xfId="0" applyFont="1" applyBorder="1" applyAlignment="1">
      <alignment horizontal="center" vertical="center" wrapText="1"/>
    </xf>
    <xf numFmtId="0" fontId="4" fillId="0" borderId="4" xfId="0" applyFont="1" applyBorder="1" applyAlignment="1">
      <alignment horizontal="center" vertical="center"/>
    </xf>
    <xf numFmtId="0" fontId="4" fillId="0" borderId="32" xfId="0" applyFont="1" applyBorder="1" applyAlignment="1">
      <alignment horizontal="center" vertical="center"/>
    </xf>
    <xf numFmtId="0" fontId="4" fillId="0" borderId="4" xfId="0" applyFont="1" applyBorder="1" applyAlignment="1">
      <alignment horizontal="center" vertical="top"/>
    </xf>
    <xf numFmtId="0" fontId="4" fillId="0" borderId="32" xfId="0" applyFont="1" applyBorder="1" applyAlignment="1">
      <alignment horizontal="center" vertical="top"/>
    </xf>
  </cellXfs>
  <cellStyles count="3">
    <cellStyle name="Обычный" xfId="0" builtinId="0"/>
    <cellStyle name="Обычный 2 2" xfId="1"/>
    <cellStyle name="Финансовый" xfId="2" builtin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B2:O566"/>
  <sheetViews>
    <sheetView tabSelected="1" topLeftCell="A553" zoomScale="90" zoomScaleNormal="90" workbookViewId="0">
      <selection activeCell="C556" sqref="C556"/>
    </sheetView>
  </sheetViews>
  <sheetFormatPr defaultRowHeight="15.75"/>
  <cols>
    <col min="1" max="1" width="2.42578125" style="153" customWidth="1"/>
    <col min="2" max="2" width="47.5703125" style="150" customWidth="1"/>
    <col min="3" max="3" width="5.140625" style="151" customWidth="1"/>
    <col min="4" max="4" width="3.7109375" style="151" customWidth="1"/>
    <col min="5" max="5" width="4.28515625" style="151" customWidth="1"/>
    <col min="6" max="6" width="4.140625" style="151" customWidth="1"/>
    <col min="7" max="7" width="3.5703125" style="151" customWidth="1"/>
    <col min="8" max="8" width="4.28515625" style="151" customWidth="1"/>
    <col min="9" max="9" width="7" style="151" customWidth="1"/>
    <col min="10" max="10" width="5.42578125" style="151" customWidth="1"/>
    <col min="11" max="11" width="12.42578125" style="152" customWidth="1"/>
    <col min="12" max="12" width="13.42578125" style="153" customWidth="1"/>
    <col min="13" max="13" width="12.7109375" style="153" customWidth="1"/>
    <col min="14" max="14" width="9.140625" style="154"/>
    <col min="15" max="15" width="9.140625" style="155"/>
    <col min="16" max="16384" width="9.140625" style="153"/>
  </cols>
  <sheetData>
    <row r="2" spans="2:15" s="5" customFormat="1">
      <c r="B2" s="156"/>
      <c r="C2" s="235"/>
      <c r="D2" s="235"/>
      <c r="E2" s="235"/>
      <c r="F2" s="235"/>
      <c r="G2" s="235"/>
      <c r="H2" s="235"/>
      <c r="I2" s="235"/>
      <c r="J2" s="235"/>
      <c r="K2" s="237" t="s">
        <v>194</v>
      </c>
      <c r="L2" s="237"/>
      <c r="M2" s="237"/>
      <c r="N2" s="4"/>
      <c r="O2" s="3"/>
    </row>
    <row r="3" spans="2:15" s="5" customFormat="1">
      <c r="B3" s="206"/>
      <c r="C3" s="235"/>
      <c r="D3" s="235"/>
      <c r="E3" s="235"/>
      <c r="F3" s="235"/>
      <c r="G3" s="235"/>
      <c r="H3" s="235"/>
      <c r="I3" s="235"/>
      <c r="J3" s="235"/>
      <c r="K3" s="237" t="s">
        <v>134</v>
      </c>
      <c r="L3" s="237"/>
      <c r="M3" s="237"/>
      <c r="N3" s="4"/>
      <c r="O3" s="3"/>
    </row>
    <row r="4" spans="2:15" s="5" customFormat="1">
      <c r="B4" s="206"/>
      <c r="C4" s="235"/>
      <c r="D4" s="235"/>
      <c r="E4" s="235"/>
      <c r="F4" s="235"/>
      <c r="G4" s="235"/>
      <c r="H4" s="235"/>
      <c r="I4" s="235"/>
      <c r="J4" s="235"/>
      <c r="K4" s="237" t="s">
        <v>0</v>
      </c>
      <c r="L4" s="237"/>
      <c r="M4" s="237"/>
      <c r="N4" s="4"/>
      <c r="O4" s="3"/>
    </row>
    <row r="5" spans="2:15" s="5" customFormat="1">
      <c r="B5" s="206"/>
      <c r="C5" s="235"/>
      <c r="D5" s="235"/>
      <c r="E5" s="235"/>
      <c r="F5" s="235"/>
      <c r="G5" s="235"/>
      <c r="H5" s="235"/>
      <c r="I5" s="235"/>
      <c r="J5" s="235"/>
      <c r="K5" s="237" t="s">
        <v>395</v>
      </c>
      <c r="L5" s="237"/>
      <c r="M5" s="237"/>
      <c r="N5" s="4"/>
      <c r="O5" s="3"/>
    </row>
    <row r="6" spans="2:15" s="5" customFormat="1">
      <c r="B6" s="206"/>
      <c r="C6" s="102"/>
      <c r="D6" s="102"/>
      <c r="E6" s="102"/>
      <c r="F6" s="102"/>
      <c r="G6" s="102"/>
      <c r="H6" s="102"/>
      <c r="I6" s="102"/>
      <c r="J6" s="102"/>
      <c r="K6" s="2"/>
      <c r="L6" s="1"/>
      <c r="M6" s="1"/>
      <c r="N6" s="4"/>
      <c r="O6" s="3"/>
    </row>
    <row r="7" spans="2:15" s="5" customFormat="1">
      <c r="B7" s="206"/>
      <c r="C7" s="102"/>
      <c r="D7" s="102"/>
      <c r="E7" s="102"/>
      <c r="F7" s="102"/>
      <c r="G7" s="102"/>
      <c r="H7" s="102"/>
      <c r="I7" s="102"/>
      <c r="J7" s="102"/>
      <c r="K7" s="109"/>
      <c r="N7" s="4"/>
      <c r="O7" s="3"/>
    </row>
    <row r="8" spans="2:15" s="5" customFormat="1" ht="84" customHeight="1">
      <c r="B8" s="236" t="s">
        <v>377</v>
      </c>
      <c r="C8" s="236"/>
      <c r="D8" s="236"/>
      <c r="E8" s="236"/>
      <c r="F8" s="236"/>
      <c r="G8" s="236"/>
      <c r="H8" s="236"/>
      <c r="I8" s="236"/>
      <c r="J8" s="236"/>
      <c r="K8" s="236"/>
      <c r="L8" s="236"/>
      <c r="M8" s="236"/>
      <c r="N8" s="4"/>
      <c r="O8" s="3"/>
    </row>
    <row r="9" spans="2:15" s="5" customFormat="1">
      <c r="B9" s="206"/>
      <c r="C9" s="102"/>
      <c r="D9" s="102"/>
      <c r="E9" s="102"/>
      <c r="F9" s="102"/>
      <c r="G9" s="102"/>
      <c r="H9" s="102"/>
      <c r="I9" s="102"/>
      <c r="J9" s="102"/>
      <c r="K9" s="109"/>
      <c r="N9" s="4"/>
      <c r="O9" s="3"/>
    </row>
    <row r="10" spans="2:15" s="5" customFormat="1" ht="32.25" thickBot="1">
      <c r="B10" s="103"/>
      <c r="C10" s="103"/>
      <c r="D10" s="103"/>
      <c r="E10" s="103"/>
      <c r="F10" s="103"/>
      <c r="G10" s="103"/>
      <c r="H10" s="103"/>
      <c r="I10" s="208" t="s">
        <v>379</v>
      </c>
      <c r="J10" s="208"/>
      <c r="K10" s="208" t="s">
        <v>380</v>
      </c>
      <c r="L10" s="234" t="s">
        <v>1</v>
      </c>
      <c r="M10" s="234"/>
      <c r="N10" s="4"/>
      <c r="O10" s="3"/>
    </row>
    <row r="11" spans="2:15" s="5" customFormat="1" ht="31.5" customHeight="1">
      <c r="B11" s="249" t="s">
        <v>2</v>
      </c>
      <c r="C11" s="244" t="s">
        <v>3</v>
      </c>
      <c r="D11" s="244" t="s">
        <v>4</v>
      </c>
      <c r="E11" s="244" t="s">
        <v>195</v>
      </c>
      <c r="F11" s="238" t="s">
        <v>196</v>
      </c>
      <c r="G11" s="239"/>
      <c r="H11" s="239"/>
      <c r="I11" s="240"/>
      <c r="J11" s="244" t="s">
        <v>197</v>
      </c>
      <c r="K11" s="246" t="s">
        <v>5</v>
      </c>
      <c r="L11" s="232" t="s">
        <v>137</v>
      </c>
      <c r="M11" s="233"/>
      <c r="N11" s="4"/>
      <c r="O11" s="3"/>
    </row>
    <row r="12" spans="2:15" s="110" customFormat="1" ht="63" customHeight="1" thickBot="1">
      <c r="B12" s="250"/>
      <c r="C12" s="245"/>
      <c r="D12" s="245"/>
      <c r="E12" s="245"/>
      <c r="F12" s="241"/>
      <c r="G12" s="242"/>
      <c r="H12" s="242"/>
      <c r="I12" s="243"/>
      <c r="J12" s="245"/>
      <c r="K12" s="247"/>
      <c r="L12" s="167" t="s">
        <v>132</v>
      </c>
      <c r="M12" s="168" t="s">
        <v>378</v>
      </c>
      <c r="N12" s="111"/>
      <c r="O12" s="112"/>
    </row>
    <row r="13" spans="2:15" s="110" customFormat="1" ht="16.5" thickBot="1">
      <c r="B13" s="171">
        <v>1</v>
      </c>
      <c r="C13" s="172">
        <v>2</v>
      </c>
      <c r="D13" s="172" t="s">
        <v>6</v>
      </c>
      <c r="E13" s="173" t="s">
        <v>7</v>
      </c>
      <c r="F13" s="251" t="s">
        <v>8</v>
      </c>
      <c r="G13" s="252"/>
      <c r="H13" s="252"/>
      <c r="I13" s="253"/>
      <c r="J13" s="173" t="s">
        <v>9</v>
      </c>
      <c r="K13" s="174">
        <v>7</v>
      </c>
      <c r="L13" s="175">
        <v>8</v>
      </c>
      <c r="M13" s="176">
        <v>9</v>
      </c>
      <c r="N13" s="113"/>
      <c r="O13" s="112"/>
    </row>
    <row r="14" spans="2:15" s="117" customFormat="1" ht="37.5" customHeight="1">
      <c r="B14" s="211" t="s">
        <v>10</v>
      </c>
      <c r="C14" s="166" t="s">
        <v>11</v>
      </c>
      <c r="D14" s="166"/>
      <c r="E14" s="166"/>
      <c r="F14" s="166"/>
      <c r="G14" s="166"/>
      <c r="H14" s="166"/>
      <c r="I14" s="166"/>
      <c r="J14" s="166"/>
      <c r="K14" s="169">
        <f>K15+K41+K50</f>
        <v>12621.9</v>
      </c>
      <c r="L14" s="169">
        <f>L15+L41+L50</f>
        <v>12814.142499999998</v>
      </c>
      <c r="M14" s="170">
        <f>M15+M41+M50</f>
        <v>12989.785</v>
      </c>
      <c r="N14" s="118"/>
      <c r="O14" s="119"/>
    </row>
    <row r="15" spans="2:15" s="117" customFormat="1" ht="25.5" customHeight="1">
      <c r="B15" s="212" t="s">
        <v>12</v>
      </c>
      <c r="C15" s="115" t="s">
        <v>11</v>
      </c>
      <c r="D15" s="115" t="s">
        <v>13</v>
      </c>
      <c r="E15" s="115"/>
      <c r="F15" s="115"/>
      <c r="G15" s="115"/>
      <c r="H15" s="115"/>
      <c r="I15" s="115"/>
      <c r="J15" s="115"/>
      <c r="K15" s="157">
        <f>K16+K30+K35</f>
        <v>6448</v>
      </c>
      <c r="L15" s="157">
        <f>L16+L30+L35</f>
        <v>6617.8424999999988</v>
      </c>
      <c r="M15" s="157">
        <f>M16+M30+M35</f>
        <v>6768.4849999999997</v>
      </c>
      <c r="N15" s="118"/>
      <c r="O15" s="119"/>
    </row>
    <row r="16" spans="2:15" s="123" customFormat="1" ht="63">
      <c r="B16" s="120" t="s">
        <v>14</v>
      </c>
      <c r="C16" s="121" t="s">
        <v>11</v>
      </c>
      <c r="D16" s="121" t="s">
        <v>13</v>
      </c>
      <c r="E16" s="121" t="s">
        <v>15</v>
      </c>
      <c r="F16" s="121"/>
      <c r="G16" s="121"/>
      <c r="H16" s="121"/>
      <c r="I16" s="121"/>
      <c r="J16" s="121"/>
      <c r="K16" s="158">
        <f>K18</f>
        <v>5948</v>
      </c>
      <c r="L16" s="158">
        <f>L18</f>
        <v>6105.3424999999988</v>
      </c>
      <c r="M16" s="122">
        <f>M18</f>
        <v>6243.4849999999997</v>
      </c>
      <c r="N16" s="124"/>
      <c r="O16" s="125"/>
    </row>
    <row r="17" spans="2:15" s="123" customFormat="1" ht="31.5">
      <c r="B17" s="126" t="s">
        <v>198</v>
      </c>
      <c r="C17" s="121" t="s">
        <v>11</v>
      </c>
      <c r="D17" s="121" t="s">
        <v>13</v>
      </c>
      <c r="E17" s="121" t="s">
        <v>15</v>
      </c>
      <c r="F17" s="127" t="s">
        <v>199</v>
      </c>
      <c r="G17" s="127" t="s">
        <v>200</v>
      </c>
      <c r="H17" s="127" t="s">
        <v>201</v>
      </c>
      <c r="I17" s="127" t="s">
        <v>202</v>
      </c>
      <c r="J17" s="121"/>
      <c r="K17" s="158">
        <f>K18</f>
        <v>5948</v>
      </c>
      <c r="L17" s="158">
        <f>L18</f>
        <v>6105.3424999999988</v>
      </c>
      <c r="M17" s="122">
        <f>M18</f>
        <v>6243.4849999999997</v>
      </c>
      <c r="N17" s="124"/>
      <c r="O17" s="125"/>
    </row>
    <row r="18" spans="2:15" s="123" customFormat="1" ht="56.25" customHeight="1">
      <c r="B18" s="126" t="s">
        <v>203</v>
      </c>
      <c r="C18" s="121" t="s">
        <v>11</v>
      </c>
      <c r="D18" s="121" t="s">
        <v>13</v>
      </c>
      <c r="E18" s="121" t="s">
        <v>15</v>
      </c>
      <c r="F18" s="127" t="s">
        <v>199</v>
      </c>
      <c r="G18" s="127" t="s">
        <v>204</v>
      </c>
      <c r="H18" s="127" t="s">
        <v>201</v>
      </c>
      <c r="I18" s="127" t="s">
        <v>202</v>
      </c>
      <c r="J18" s="121"/>
      <c r="K18" s="158">
        <f>K19+K24+K27</f>
        <v>5948</v>
      </c>
      <c r="L18" s="158">
        <f>L19+L24+L27</f>
        <v>6105.3424999999988</v>
      </c>
      <c r="M18" s="122">
        <f>M19+M24+M27</f>
        <v>6243.4849999999997</v>
      </c>
      <c r="N18" s="124"/>
      <c r="O18" s="125"/>
    </row>
    <row r="19" spans="2:15" s="123" customFormat="1" ht="40.5" customHeight="1">
      <c r="B19" s="126" t="s">
        <v>16</v>
      </c>
      <c r="C19" s="121" t="s">
        <v>11</v>
      </c>
      <c r="D19" s="121" t="s">
        <v>13</v>
      </c>
      <c r="E19" s="121" t="s">
        <v>15</v>
      </c>
      <c r="F19" s="127" t="s">
        <v>199</v>
      </c>
      <c r="G19" s="127" t="s">
        <v>204</v>
      </c>
      <c r="H19" s="127" t="s">
        <v>201</v>
      </c>
      <c r="I19" s="127" t="s">
        <v>205</v>
      </c>
      <c r="J19" s="121"/>
      <c r="K19" s="158">
        <f>K20+K22</f>
        <v>5524.4</v>
      </c>
      <c r="L19" s="158">
        <f>L20+L22</f>
        <v>5662.5099999999984</v>
      </c>
      <c r="M19" s="122">
        <f>M20+M22</f>
        <v>5800.62</v>
      </c>
      <c r="N19" s="124"/>
      <c r="O19" s="125"/>
    </row>
    <row r="20" spans="2:15" s="123" customFormat="1" ht="94.5">
      <c r="B20" s="120" t="s">
        <v>17</v>
      </c>
      <c r="C20" s="121" t="s">
        <v>11</v>
      </c>
      <c r="D20" s="121" t="s">
        <v>13</v>
      </c>
      <c r="E20" s="121" t="s">
        <v>15</v>
      </c>
      <c r="F20" s="127" t="s">
        <v>199</v>
      </c>
      <c r="G20" s="127" t="s">
        <v>204</v>
      </c>
      <c r="H20" s="127" t="s">
        <v>201</v>
      </c>
      <c r="I20" s="127" t="s">
        <v>205</v>
      </c>
      <c r="J20" s="121" t="s">
        <v>18</v>
      </c>
      <c r="K20" s="158">
        <f>K21</f>
        <v>5083.3999999999996</v>
      </c>
      <c r="L20" s="158">
        <f>L21</f>
        <v>5210.4849999999988</v>
      </c>
      <c r="M20" s="122">
        <f>M21</f>
        <v>5337.57</v>
      </c>
      <c r="N20" s="124"/>
      <c r="O20" s="125"/>
    </row>
    <row r="21" spans="2:15" s="123" customFormat="1" ht="31.5">
      <c r="B21" s="120" t="s">
        <v>19</v>
      </c>
      <c r="C21" s="121" t="s">
        <v>11</v>
      </c>
      <c r="D21" s="121" t="s">
        <v>13</v>
      </c>
      <c r="E21" s="121" t="s">
        <v>15</v>
      </c>
      <c r="F21" s="127" t="s">
        <v>199</v>
      </c>
      <c r="G21" s="127" t="s">
        <v>204</v>
      </c>
      <c r="H21" s="127" t="s">
        <v>201</v>
      </c>
      <c r="I21" s="127" t="s">
        <v>205</v>
      </c>
      <c r="J21" s="121" t="s">
        <v>20</v>
      </c>
      <c r="K21" s="158">
        <f>((5091.7+1)+90.7)-100</f>
        <v>5083.3999999999996</v>
      </c>
      <c r="L21" s="158">
        <f>5083.4*102.5%</f>
        <v>5210.4849999999988</v>
      </c>
      <c r="M21" s="122">
        <f>5083.4*105%</f>
        <v>5337.57</v>
      </c>
      <c r="N21" s="124"/>
      <c r="O21" s="125"/>
    </row>
    <row r="22" spans="2:15" s="123" customFormat="1" ht="47.25">
      <c r="B22" s="120" t="s">
        <v>206</v>
      </c>
      <c r="C22" s="121" t="s">
        <v>11</v>
      </c>
      <c r="D22" s="121" t="s">
        <v>13</v>
      </c>
      <c r="E22" s="121" t="s">
        <v>15</v>
      </c>
      <c r="F22" s="127" t="s">
        <v>199</v>
      </c>
      <c r="G22" s="127" t="s">
        <v>204</v>
      </c>
      <c r="H22" s="127" t="s">
        <v>201</v>
      </c>
      <c r="I22" s="127" t="s">
        <v>205</v>
      </c>
      <c r="J22" s="121" t="s">
        <v>22</v>
      </c>
      <c r="K22" s="158">
        <f>K23</f>
        <v>441</v>
      </c>
      <c r="L22" s="158">
        <f>L23</f>
        <v>452.02499999999998</v>
      </c>
      <c r="M22" s="122">
        <f>M23</f>
        <v>463.05</v>
      </c>
      <c r="N22" s="124"/>
      <c r="O22" s="125"/>
    </row>
    <row r="23" spans="2:15" s="123" customFormat="1" ht="47.25">
      <c r="B23" s="120" t="s">
        <v>23</v>
      </c>
      <c r="C23" s="121" t="s">
        <v>11</v>
      </c>
      <c r="D23" s="121" t="s">
        <v>13</v>
      </c>
      <c r="E23" s="121" t="s">
        <v>15</v>
      </c>
      <c r="F23" s="127" t="s">
        <v>199</v>
      </c>
      <c r="G23" s="127" t="s">
        <v>204</v>
      </c>
      <c r="H23" s="127" t="s">
        <v>201</v>
      </c>
      <c r="I23" s="127" t="s">
        <v>205</v>
      </c>
      <c r="J23" s="121" t="s">
        <v>24</v>
      </c>
      <c r="K23" s="158">
        <f>341+100</f>
        <v>441</v>
      </c>
      <c r="L23" s="158">
        <f>(341+100)*102.5%</f>
        <v>452.02499999999998</v>
      </c>
      <c r="M23" s="122">
        <f>(341+100)*105%</f>
        <v>463.05</v>
      </c>
      <c r="N23" s="124"/>
      <c r="O23" s="125"/>
    </row>
    <row r="24" spans="2:15" s="123" customFormat="1" ht="47.25">
      <c r="B24" s="126" t="s">
        <v>207</v>
      </c>
      <c r="C24" s="121" t="s">
        <v>11</v>
      </c>
      <c r="D24" s="121" t="s">
        <v>13</v>
      </c>
      <c r="E24" s="121" t="s">
        <v>15</v>
      </c>
      <c r="F24" s="127" t="s">
        <v>199</v>
      </c>
      <c r="G24" s="127" t="s">
        <v>204</v>
      </c>
      <c r="H24" s="127" t="s">
        <v>201</v>
      </c>
      <c r="I24" s="127" t="s">
        <v>208</v>
      </c>
      <c r="J24" s="121"/>
      <c r="K24" s="158">
        <f t="shared" ref="K24:M25" si="0">K25</f>
        <v>1.3</v>
      </c>
      <c r="L24" s="158">
        <f t="shared" si="0"/>
        <v>1.3325</v>
      </c>
      <c r="M24" s="122">
        <f t="shared" si="0"/>
        <v>1.3650000000000002</v>
      </c>
      <c r="N24" s="124"/>
      <c r="O24" s="125"/>
    </row>
    <row r="25" spans="2:15" s="123" customFormat="1" ht="18" customHeight="1">
      <c r="B25" s="120" t="s">
        <v>25</v>
      </c>
      <c r="C25" s="121" t="s">
        <v>11</v>
      </c>
      <c r="D25" s="121" t="s">
        <v>13</v>
      </c>
      <c r="E25" s="121" t="s">
        <v>15</v>
      </c>
      <c r="F25" s="127" t="s">
        <v>199</v>
      </c>
      <c r="G25" s="127" t="s">
        <v>204</v>
      </c>
      <c r="H25" s="127" t="s">
        <v>201</v>
      </c>
      <c r="I25" s="127" t="s">
        <v>208</v>
      </c>
      <c r="J25" s="121" t="s">
        <v>26</v>
      </c>
      <c r="K25" s="158">
        <f t="shared" si="0"/>
        <v>1.3</v>
      </c>
      <c r="L25" s="158">
        <f t="shared" si="0"/>
        <v>1.3325</v>
      </c>
      <c r="M25" s="122">
        <f t="shared" si="0"/>
        <v>1.3650000000000002</v>
      </c>
      <c r="N25" s="124"/>
      <c r="O25" s="125"/>
    </row>
    <row r="26" spans="2:15" s="123" customFormat="1" ht="18" customHeight="1">
      <c r="B26" s="120" t="s">
        <v>27</v>
      </c>
      <c r="C26" s="121" t="s">
        <v>11</v>
      </c>
      <c r="D26" s="121" t="s">
        <v>13</v>
      </c>
      <c r="E26" s="121" t="s">
        <v>15</v>
      </c>
      <c r="F26" s="127" t="s">
        <v>199</v>
      </c>
      <c r="G26" s="127" t="s">
        <v>204</v>
      </c>
      <c r="H26" s="127" t="s">
        <v>201</v>
      </c>
      <c r="I26" s="127" t="s">
        <v>208</v>
      </c>
      <c r="J26" s="121" t="s">
        <v>28</v>
      </c>
      <c r="K26" s="158">
        <f>1.3</f>
        <v>1.3</v>
      </c>
      <c r="L26" s="158">
        <f>1.3*102.5%</f>
        <v>1.3325</v>
      </c>
      <c r="M26" s="122">
        <f>1.3*105%</f>
        <v>1.3650000000000002</v>
      </c>
      <c r="N26" s="124"/>
      <c r="O26" s="125"/>
    </row>
    <row r="27" spans="2:15" s="123" customFormat="1" ht="173.25">
      <c r="B27" s="214" t="s">
        <v>209</v>
      </c>
      <c r="C27" s="121" t="s">
        <v>11</v>
      </c>
      <c r="D27" s="121" t="s">
        <v>13</v>
      </c>
      <c r="E27" s="121" t="s">
        <v>15</v>
      </c>
      <c r="F27" s="127" t="s">
        <v>199</v>
      </c>
      <c r="G27" s="127" t="s">
        <v>204</v>
      </c>
      <c r="H27" s="127" t="s">
        <v>201</v>
      </c>
      <c r="I27" s="127" t="s">
        <v>210</v>
      </c>
      <c r="J27" s="121"/>
      <c r="K27" s="158">
        <f t="shared" ref="K27:M28" si="1">K28</f>
        <v>422.3</v>
      </c>
      <c r="L27" s="158">
        <f t="shared" si="1"/>
        <v>441.5</v>
      </c>
      <c r="M27" s="122">
        <f t="shared" si="1"/>
        <v>441.5</v>
      </c>
      <c r="N27" s="124"/>
      <c r="O27" s="125"/>
    </row>
    <row r="28" spans="2:15" s="123" customFormat="1" ht="94.5">
      <c r="B28" s="120" t="s">
        <v>17</v>
      </c>
      <c r="C28" s="121" t="s">
        <v>11</v>
      </c>
      <c r="D28" s="121" t="s">
        <v>13</v>
      </c>
      <c r="E28" s="121" t="s">
        <v>15</v>
      </c>
      <c r="F28" s="127" t="s">
        <v>199</v>
      </c>
      <c r="G28" s="127" t="s">
        <v>204</v>
      </c>
      <c r="H28" s="127" t="s">
        <v>201</v>
      </c>
      <c r="I28" s="127" t="s">
        <v>210</v>
      </c>
      <c r="J28" s="121" t="s">
        <v>18</v>
      </c>
      <c r="K28" s="158">
        <f t="shared" si="1"/>
        <v>422.3</v>
      </c>
      <c r="L28" s="158">
        <f t="shared" si="1"/>
        <v>441.5</v>
      </c>
      <c r="M28" s="122">
        <f t="shared" si="1"/>
        <v>441.5</v>
      </c>
      <c r="N28" s="124"/>
      <c r="O28" s="125"/>
    </row>
    <row r="29" spans="2:15" s="123" customFormat="1" ht="31.5">
      <c r="B29" s="120" t="s">
        <v>19</v>
      </c>
      <c r="C29" s="121" t="s">
        <v>11</v>
      </c>
      <c r="D29" s="121" t="s">
        <v>13</v>
      </c>
      <c r="E29" s="121" t="s">
        <v>15</v>
      </c>
      <c r="F29" s="127" t="s">
        <v>199</v>
      </c>
      <c r="G29" s="127" t="s">
        <v>204</v>
      </c>
      <c r="H29" s="127" t="s">
        <v>201</v>
      </c>
      <c r="I29" s="127" t="s">
        <v>210</v>
      </c>
      <c r="J29" s="121" t="s">
        <v>20</v>
      </c>
      <c r="K29" s="158">
        <f>422.3</f>
        <v>422.3</v>
      </c>
      <c r="L29" s="158">
        <f>441.5</f>
        <v>441.5</v>
      </c>
      <c r="M29" s="122">
        <f>441.5</f>
        <v>441.5</v>
      </c>
      <c r="N29" s="124"/>
      <c r="O29" s="125"/>
    </row>
    <row r="30" spans="2:15" s="117" customFormat="1">
      <c r="B30" s="114" t="s">
        <v>29</v>
      </c>
      <c r="C30" s="115" t="s">
        <v>11</v>
      </c>
      <c r="D30" s="115" t="s">
        <v>13</v>
      </c>
      <c r="E30" s="115" t="s">
        <v>30</v>
      </c>
      <c r="F30" s="115"/>
      <c r="G30" s="115"/>
      <c r="H30" s="115"/>
      <c r="I30" s="115"/>
      <c r="J30" s="115"/>
      <c r="K30" s="157">
        <f t="shared" ref="K30:M33" si="2">K31</f>
        <v>400</v>
      </c>
      <c r="L30" s="157">
        <f t="shared" si="2"/>
        <v>409.99999999999994</v>
      </c>
      <c r="M30" s="116">
        <f t="shared" si="2"/>
        <v>420</v>
      </c>
      <c r="N30" s="118"/>
      <c r="O30" s="119"/>
    </row>
    <row r="31" spans="2:15" s="123" customFormat="1">
      <c r="B31" s="126" t="s">
        <v>31</v>
      </c>
      <c r="C31" s="121" t="s">
        <v>11</v>
      </c>
      <c r="D31" s="121" t="s">
        <v>13</v>
      </c>
      <c r="E31" s="121" t="s">
        <v>30</v>
      </c>
      <c r="F31" s="127" t="s">
        <v>211</v>
      </c>
      <c r="G31" s="127" t="s">
        <v>212</v>
      </c>
      <c r="H31" s="127" t="s">
        <v>201</v>
      </c>
      <c r="I31" s="127" t="s">
        <v>202</v>
      </c>
      <c r="J31" s="121"/>
      <c r="K31" s="158">
        <f t="shared" si="2"/>
        <v>400</v>
      </c>
      <c r="L31" s="158">
        <f t="shared" si="2"/>
        <v>409.99999999999994</v>
      </c>
      <c r="M31" s="122">
        <f t="shared" si="2"/>
        <v>420</v>
      </c>
      <c r="N31" s="124"/>
      <c r="O31" s="125"/>
    </row>
    <row r="32" spans="2:15" s="123" customFormat="1" ht="31.5">
      <c r="B32" s="120" t="s">
        <v>213</v>
      </c>
      <c r="C32" s="121" t="s">
        <v>11</v>
      </c>
      <c r="D32" s="121" t="s">
        <v>13</v>
      </c>
      <c r="E32" s="121" t="s">
        <v>30</v>
      </c>
      <c r="F32" s="127" t="s">
        <v>211</v>
      </c>
      <c r="G32" s="127" t="s">
        <v>212</v>
      </c>
      <c r="H32" s="127" t="s">
        <v>201</v>
      </c>
      <c r="I32" s="127" t="s">
        <v>214</v>
      </c>
      <c r="J32" s="121"/>
      <c r="K32" s="158">
        <f t="shared" si="2"/>
        <v>400</v>
      </c>
      <c r="L32" s="158">
        <f t="shared" si="2"/>
        <v>409.99999999999994</v>
      </c>
      <c r="M32" s="122">
        <f t="shared" si="2"/>
        <v>420</v>
      </c>
      <c r="N32" s="124"/>
      <c r="O32" s="125"/>
    </row>
    <row r="33" spans="2:15" s="123" customFormat="1">
      <c r="B33" s="120" t="s">
        <v>25</v>
      </c>
      <c r="C33" s="121" t="s">
        <v>11</v>
      </c>
      <c r="D33" s="121" t="s">
        <v>13</v>
      </c>
      <c r="E33" s="121" t="s">
        <v>30</v>
      </c>
      <c r="F33" s="127" t="s">
        <v>211</v>
      </c>
      <c r="G33" s="127" t="s">
        <v>212</v>
      </c>
      <c r="H33" s="127" t="s">
        <v>201</v>
      </c>
      <c r="I33" s="127" t="s">
        <v>214</v>
      </c>
      <c r="J33" s="121" t="s">
        <v>26</v>
      </c>
      <c r="K33" s="158">
        <f t="shared" si="2"/>
        <v>400</v>
      </c>
      <c r="L33" s="158">
        <f t="shared" si="2"/>
        <v>409.99999999999994</v>
      </c>
      <c r="M33" s="122">
        <f t="shared" si="2"/>
        <v>420</v>
      </c>
      <c r="N33" s="124"/>
      <c r="O33" s="125"/>
    </row>
    <row r="34" spans="2:15" s="123" customFormat="1">
      <c r="B34" s="120" t="s">
        <v>31</v>
      </c>
      <c r="C34" s="121" t="s">
        <v>11</v>
      </c>
      <c r="D34" s="121" t="s">
        <v>13</v>
      </c>
      <c r="E34" s="121" t="s">
        <v>30</v>
      </c>
      <c r="F34" s="127" t="s">
        <v>211</v>
      </c>
      <c r="G34" s="127" t="s">
        <v>212</v>
      </c>
      <c r="H34" s="127" t="s">
        <v>201</v>
      </c>
      <c r="I34" s="127" t="s">
        <v>214</v>
      </c>
      <c r="J34" s="121" t="s">
        <v>32</v>
      </c>
      <c r="K34" s="158">
        <f>(500-100)</f>
        <v>400</v>
      </c>
      <c r="L34" s="158">
        <f>400*102.5%</f>
        <v>409.99999999999994</v>
      </c>
      <c r="M34" s="122">
        <f>400*105%</f>
        <v>420</v>
      </c>
      <c r="N34" s="124"/>
      <c r="O34" s="125"/>
    </row>
    <row r="35" spans="2:15" s="123" customFormat="1">
      <c r="B35" s="114" t="s">
        <v>33</v>
      </c>
      <c r="C35" s="115" t="s">
        <v>11</v>
      </c>
      <c r="D35" s="115" t="s">
        <v>13</v>
      </c>
      <c r="E35" s="115" t="s">
        <v>34</v>
      </c>
      <c r="F35" s="115"/>
      <c r="G35" s="115"/>
      <c r="H35" s="115"/>
      <c r="I35" s="115"/>
      <c r="J35" s="115"/>
      <c r="K35" s="116">
        <f t="shared" ref="K35:M39" si="3">K36</f>
        <v>100</v>
      </c>
      <c r="L35" s="116">
        <f t="shared" si="3"/>
        <v>102.49999999999999</v>
      </c>
      <c r="M35" s="116">
        <f t="shared" si="3"/>
        <v>105</v>
      </c>
      <c r="N35" s="124"/>
      <c r="O35" s="125"/>
    </row>
    <row r="36" spans="2:15" s="123" customFormat="1" ht="31.5">
      <c r="B36" s="140" t="s">
        <v>242</v>
      </c>
      <c r="C36" s="115" t="s">
        <v>11</v>
      </c>
      <c r="D36" s="115" t="s">
        <v>13</v>
      </c>
      <c r="E36" s="115" t="s">
        <v>34</v>
      </c>
      <c r="F36" s="177" t="s">
        <v>211</v>
      </c>
      <c r="G36" s="177" t="s">
        <v>200</v>
      </c>
      <c r="H36" s="177" t="s">
        <v>201</v>
      </c>
      <c r="I36" s="177" t="s">
        <v>202</v>
      </c>
      <c r="J36" s="115"/>
      <c r="K36" s="116">
        <f t="shared" si="3"/>
        <v>100</v>
      </c>
      <c r="L36" s="116">
        <f t="shared" si="3"/>
        <v>102.49999999999999</v>
      </c>
      <c r="M36" s="116">
        <f t="shared" si="3"/>
        <v>105</v>
      </c>
      <c r="N36" s="124"/>
      <c r="O36" s="125"/>
    </row>
    <row r="37" spans="2:15" s="123" customFormat="1" ht="31.5">
      <c r="B37" s="140" t="s">
        <v>35</v>
      </c>
      <c r="C37" s="115" t="s">
        <v>11</v>
      </c>
      <c r="D37" s="115" t="s">
        <v>13</v>
      </c>
      <c r="E37" s="115" t="s">
        <v>34</v>
      </c>
      <c r="F37" s="177" t="s">
        <v>211</v>
      </c>
      <c r="G37" s="177" t="s">
        <v>223</v>
      </c>
      <c r="H37" s="177" t="s">
        <v>201</v>
      </c>
      <c r="I37" s="177" t="s">
        <v>202</v>
      </c>
      <c r="J37" s="121"/>
      <c r="K37" s="122">
        <f t="shared" si="3"/>
        <v>100</v>
      </c>
      <c r="L37" s="122">
        <f t="shared" si="3"/>
        <v>102.49999999999999</v>
      </c>
      <c r="M37" s="122">
        <f t="shared" si="3"/>
        <v>105</v>
      </c>
      <c r="N37" s="124"/>
      <c r="O37" s="125"/>
    </row>
    <row r="38" spans="2:15" s="123" customFormat="1">
      <c r="B38" s="134" t="s">
        <v>384</v>
      </c>
      <c r="C38" s="121" t="s">
        <v>11</v>
      </c>
      <c r="D38" s="121" t="s">
        <v>13</v>
      </c>
      <c r="E38" s="121" t="s">
        <v>34</v>
      </c>
      <c r="F38" s="127" t="s">
        <v>211</v>
      </c>
      <c r="G38" s="127" t="s">
        <v>223</v>
      </c>
      <c r="H38" s="127" t="s">
        <v>201</v>
      </c>
      <c r="I38" s="127" t="s">
        <v>385</v>
      </c>
      <c r="J38" s="121"/>
      <c r="K38" s="122">
        <f t="shared" si="3"/>
        <v>100</v>
      </c>
      <c r="L38" s="122">
        <f t="shared" si="3"/>
        <v>102.49999999999999</v>
      </c>
      <c r="M38" s="122">
        <f t="shared" si="3"/>
        <v>105</v>
      </c>
      <c r="N38" s="124"/>
      <c r="O38" s="125"/>
    </row>
    <row r="39" spans="2:15" s="123" customFormat="1">
      <c r="B39" s="120" t="s">
        <v>25</v>
      </c>
      <c r="C39" s="121" t="s">
        <v>11</v>
      </c>
      <c r="D39" s="121" t="s">
        <v>13</v>
      </c>
      <c r="E39" s="121" t="s">
        <v>34</v>
      </c>
      <c r="F39" s="127" t="s">
        <v>211</v>
      </c>
      <c r="G39" s="127" t="s">
        <v>223</v>
      </c>
      <c r="H39" s="127" t="s">
        <v>201</v>
      </c>
      <c r="I39" s="127" t="s">
        <v>385</v>
      </c>
      <c r="J39" s="121" t="s">
        <v>26</v>
      </c>
      <c r="K39" s="122">
        <f t="shared" si="3"/>
        <v>100</v>
      </c>
      <c r="L39" s="122">
        <f t="shared" si="3"/>
        <v>102.49999999999999</v>
      </c>
      <c r="M39" s="122">
        <f t="shared" si="3"/>
        <v>105</v>
      </c>
      <c r="N39" s="124"/>
      <c r="O39" s="125"/>
    </row>
    <row r="40" spans="2:15" s="123" customFormat="1">
      <c r="B40" s="120" t="s">
        <v>36</v>
      </c>
      <c r="C40" s="121" t="s">
        <v>11</v>
      </c>
      <c r="D40" s="121" t="s">
        <v>13</v>
      </c>
      <c r="E40" s="121" t="s">
        <v>34</v>
      </c>
      <c r="F40" s="127" t="s">
        <v>211</v>
      </c>
      <c r="G40" s="127" t="s">
        <v>223</v>
      </c>
      <c r="H40" s="127" t="s">
        <v>201</v>
      </c>
      <c r="I40" s="127" t="s">
        <v>385</v>
      </c>
      <c r="J40" s="121" t="s">
        <v>37</v>
      </c>
      <c r="K40" s="122">
        <f>100</f>
        <v>100</v>
      </c>
      <c r="L40" s="122">
        <f>100*102.5%</f>
        <v>102.49999999999999</v>
      </c>
      <c r="M40" s="122">
        <f>100*105%</f>
        <v>105</v>
      </c>
      <c r="N40" s="124"/>
      <c r="O40" s="125"/>
    </row>
    <row r="41" spans="2:15" s="117" customFormat="1" ht="31.5">
      <c r="B41" s="114" t="s">
        <v>42</v>
      </c>
      <c r="C41" s="115" t="s">
        <v>11</v>
      </c>
      <c r="D41" s="115" t="s">
        <v>34</v>
      </c>
      <c r="E41" s="115"/>
      <c r="F41" s="115"/>
      <c r="G41" s="115"/>
      <c r="H41" s="115"/>
      <c r="I41" s="115"/>
      <c r="J41" s="115"/>
      <c r="K41" s="157">
        <f t="shared" ref="K41:M42" si="4">K42</f>
        <v>1000</v>
      </c>
      <c r="L41" s="157">
        <f t="shared" si="4"/>
        <v>1024.9999999999998</v>
      </c>
      <c r="M41" s="116">
        <f t="shared" si="4"/>
        <v>1050</v>
      </c>
      <c r="N41" s="118"/>
      <c r="O41" s="119"/>
    </row>
    <row r="42" spans="2:15" s="117" customFormat="1" ht="31.5">
      <c r="B42" s="114" t="s">
        <v>43</v>
      </c>
      <c r="C42" s="115" t="s">
        <v>11</v>
      </c>
      <c r="D42" s="115" t="s">
        <v>34</v>
      </c>
      <c r="E42" s="115" t="s">
        <v>13</v>
      </c>
      <c r="F42" s="115"/>
      <c r="G42" s="115"/>
      <c r="H42" s="115"/>
      <c r="I42" s="115"/>
      <c r="J42" s="115"/>
      <c r="K42" s="157">
        <f t="shared" si="4"/>
        <v>1000</v>
      </c>
      <c r="L42" s="157">
        <f t="shared" si="4"/>
        <v>1024.9999999999998</v>
      </c>
      <c r="M42" s="116">
        <f t="shared" si="4"/>
        <v>1050</v>
      </c>
      <c r="N42" s="118"/>
      <c r="O42" s="119"/>
    </row>
    <row r="43" spans="2:15" s="123" customFormat="1">
      <c r="B43" s="120" t="s">
        <v>215</v>
      </c>
      <c r="C43" s="121" t="s">
        <v>11</v>
      </c>
      <c r="D43" s="121" t="s">
        <v>34</v>
      </c>
      <c r="E43" s="121" t="s">
        <v>13</v>
      </c>
      <c r="F43" s="127" t="s">
        <v>216</v>
      </c>
      <c r="G43" s="127" t="s">
        <v>200</v>
      </c>
      <c r="H43" s="127" t="s">
        <v>201</v>
      </c>
      <c r="I43" s="127" t="s">
        <v>202</v>
      </c>
      <c r="J43" s="121"/>
      <c r="K43" s="158">
        <f>K44+K47</f>
        <v>1000</v>
      </c>
      <c r="L43" s="158">
        <f>L44+L47</f>
        <v>1024.9999999999998</v>
      </c>
      <c r="M43" s="122">
        <f>M44+M47</f>
        <v>1050</v>
      </c>
      <c r="N43" s="124"/>
      <c r="O43" s="125"/>
    </row>
    <row r="44" spans="2:15" s="123" customFormat="1" ht="63">
      <c r="B44" s="120" t="s">
        <v>217</v>
      </c>
      <c r="C44" s="121" t="s">
        <v>11</v>
      </c>
      <c r="D44" s="121" t="s">
        <v>34</v>
      </c>
      <c r="E44" s="121" t="s">
        <v>13</v>
      </c>
      <c r="F44" s="127" t="s">
        <v>216</v>
      </c>
      <c r="G44" s="127" t="s">
        <v>200</v>
      </c>
      <c r="H44" s="127" t="s">
        <v>201</v>
      </c>
      <c r="I44" s="127" t="s">
        <v>218</v>
      </c>
      <c r="J44" s="121"/>
      <c r="K44" s="158">
        <f t="shared" ref="K44:M45" si="5">K45</f>
        <v>800</v>
      </c>
      <c r="L44" s="158">
        <f t="shared" si="5"/>
        <v>819.99999999999989</v>
      </c>
      <c r="M44" s="122">
        <f t="shared" si="5"/>
        <v>840</v>
      </c>
      <c r="N44" s="124"/>
      <c r="O44" s="125"/>
    </row>
    <row r="45" spans="2:15" s="123" customFormat="1" ht="31.5">
      <c r="B45" s="120" t="s">
        <v>45</v>
      </c>
      <c r="C45" s="121" t="s">
        <v>11</v>
      </c>
      <c r="D45" s="121" t="s">
        <v>34</v>
      </c>
      <c r="E45" s="121" t="s">
        <v>13</v>
      </c>
      <c r="F45" s="127" t="s">
        <v>216</v>
      </c>
      <c r="G45" s="127" t="s">
        <v>200</v>
      </c>
      <c r="H45" s="127" t="s">
        <v>201</v>
      </c>
      <c r="I45" s="127" t="s">
        <v>218</v>
      </c>
      <c r="J45" s="121" t="s">
        <v>46</v>
      </c>
      <c r="K45" s="158">
        <f t="shared" si="5"/>
        <v>800</v>
      </c>
      <c r="L45" s="158">
        <f t="shared" si="5"/>
        <v>819.99999999999989</v>
      </c>
      <c r="M45" s="122">
        <f t="shared" si="5"/>
        <v>840</v>
      </c>
      <c r="N45" s="124"/>
      <c r="O45" s="125"/>
    </row>
    <row r="46" spans="2:15" s="123" customFormat="1">
      <c r="B46" s="128" t="s">
        <v>47</v>
      </c>
      <c r="C46" s="121" t="s">
        <v>11</v>
      </c>
      <c r="D46" s="121" t="s">
        <v>34</v>
      </c>
      <c r="E46" s="121" t="s">
        <v>13</v>
      </c>
      <c r="F46" s="127" t="s">
        <v>216</v>
      </c>
      <c r="G46" s="127" t="s">
        <v>200</v>
      </c>
      <c r="H46" s="127" t="s">
        <v>201</v>
      </c>
      <c r="I46" s="127" t="s">
        <v>218</v>
      </c>
      <c r="J46" s="121" t="s">
        <v>48</v>
      </c>
      <c r="K46" s="158">
        <f>800</f>
        <v>800</v>
      </c>
      <c r="L46" s="158">
        <f>800*102.5%</f>
        <v>819.99999999999989</v>
      </c>
      <c r="M46" s="122">
        <f>800*105%</f>
        <v>840</v>
      </c>
      <c r="N46" s="124"/>
      <c r="O46" s="125"/>
    </row>
    <row r="47" spans="2:15" s="123" customFormat="1" ht="63">
      <c r="B47" s="128" t="s">
        <v>219</v>
      </c>
      <c r="C47" s="121" t="s">
        <v>11</v>
      </c>
      <c r="D47" s="121" t="s">
        <v>34</v>
      </c>
      <c r="E47" s="121" t="s">
        <v>13</v>
      </c>
      <c r="F47" s="127" t="s">
        <v>216</v>
      </c>
      <c r="G47" s="127" t="s">
        <v>200</v>
      </c>
      <c r="H47" s="127" t="s">
        <v>201</v>
      </c>
      <c r="I47" s="127" t="s">
        <v>220</v>
      </c>
      <c r="J47" s="121"/>
      <c r="K47" s="158">
        <f t="shared" ref="K47:M48" si="6">K48</f>
        <v>200</v>
      </c>
      <c r="L47" s="158">
        <f t="shared" si="6"/>
        <v>204.99999999999997</v>
      </c>
      <c r="M47" s="122">
        <f t="shared" si="6"/>
        <v>210</v>
      </c>
      <c r="N47" s="124"/>
      <c r="O47" s="125"/>
    </row>
    <row r="48" spans="2:15" s="123" customFormat="1" ht="31.5">
      <c r="B48" s="120" t="s">
        <v>45</v>
      </c>
      <c r="C48" s="121" t="s">
        <v>11</v>
      </c>
      <c r="D48" s="121" t="s">
        <v>34</v>
      </c>
      <c r="E48" s="121" t="s">
        <v>13</v>
      </c>
      <c r="F48" s="127" t="s">
        <v>216</v>
      </c>
      <c r="G48" s="127" t="s">
        <v>200</v>
      </c>
      <c r="H48" s="127" t="s">
        <v>201</v>
      </c>
      <c r="I48" s="127" t="s">
        <v>220</v>
      </c>
      <c r="J48" s="121" t="s">
        <v>46</v>
      </c>
      <c r="K48" s="158">
        <f t="shared" si="6"/>
        <v>200</v>
      </c>
      <c r="L48" s="158">
        <f t="shared" si="6"/>
        <v>204.99999999999997</v>
      </c>
      <c r="M48" s="122">
        <f t="shared" si="6"/>
        <v>210</v>
      </c>
      <c r="N48" s="124"/>
      <c r="O48" s="125"/>
    </row>
    <row r="49" spans="2:15" s="123" customFormat="1">
      <c r="B49" s="128" t="s">
        <v>47</v>
      </c>
      <c r="C49" s="121" t="s">
        <v>11</v>
      </c>
      <c r="D49" s="121" t="s">
        <v>34</v>
      </c>
      <c r="E49" s="121" t="s">
        <v>13</v>
      </c>
      <c r="F49" s="127" t="s">
        <v>216</v>
      </c>
      <c r="G49" s="127" t="s">
        <v>200</v>
      </c>
      <c r="H49" s="127" t="s">
        <v>201</v>
      </c>
      <c r="I49" s="127" t="s">
        <v>220</v>
      </c>
      <c r="J49" s="121" t="s">
        <v>48</v>
      </c>
      <c r="K49" s="158">
        <f>200</f>
        <v>200</v>
      </c>
      <c r="L49" s="158">
        <f>200*102.5%</f>
        <v>204.99999999999997</v>
      </c>
      <c r="M49" s="122">
        <f>200*105%</f>
        <v>210</v>
      </c>
      <c r="N49" s="124"/>
      <c r="O49" s="125"/>
    </row>
    <row r="50" spans="2:15" s="117" customFormat="1" ht="47.25">
      <c r="B50" s="114" t="s">
        <v>50</v>
      </c>
      <c r="C50" s="115" t="s">
        <v>11</v>
      </c>
      <c r="D50" s="115" t="s">
        <v>49</v>
      </c>
      <c r="E50" s="115"/>
      <c r="F50" s="115"/>
      <c r="G50" s="115"/>
      <c r="H50" s="115"/>
      <c r="I50" s="115"/>
      <c r="J50" s="115"/>
      <c r="K50" s="157">
        <f>K51+K60</f>
        <v>5173.8999999999996</v>
      </c>
      <c r="L50" s="157">
        <f>L51+L60</f>
        <v>5171.3</v>
      </c>
      <c r="M50" s="116">
        <f>M51+M60</f>
        <v>5171.3</v>
      </c>
      <c r="N50" s="118"/>
      <c r="O50" s="119"/>
    </row>
    <row r="51" spans="2:15" s="117" customFormat="1" ht="47.25">
      <c r="B51" s="114" t="s">
        <v>51</v>
      </c>
      <c r="C51" s="115" t="s">
        <v>11</v>
      </c>
      <c r="D51" s="115" t="s">
        <v>49</v>
      </c>
      <c r="E51" s="115" t="s">
        <v>13</v>
      </c>
      <c r="F51" s="115"/>
      <c r="G51" s="115"/>
      <c r="H51" s="115"/>
      <c r="I51" s="115"/>
      <c r="J51" s="115"/>
      <c r="K51" s="157">
        <f t="shared" ref="K51:M52" si="7">K52</f>
        <v>3981.4</v>
      </c>
      <c r="L51" s="157">
        <f t="shared" si="7"/>
        <v>3978.8</v>
      </c>
      <c r="M51" s="116">
        <f t="shared" si="7"/>
        <v>3978.8</v>
      </c>
      <c r="N51" s="118"/>
      <c r="O51" s="119"/>
    </row>
    <row r="52" spans="2:15" s="123" customFormat="1" ht="20.25" customHeight="1">
      <c r="B52" s="126" t="s">
        <v>52</v>
      </c>
      <c r="C52" s="121" t="s">
        <v>11</v>
      </c>
      <c r="D52" s="121" t="s">
        <v>49</v>
      </c>
      <c r="E52" s="121" t="s">
        <v>13</v>
      </c>
      <c r="F52" s="127" t="s">
        <v>221</v>
      </c>
      <c r="G52" s="127" t="s">
        <v>200</v>
      </c>
      <c r="H52" s="127" t="s">
        <v>201</v>
      </c>
      <c r="I52" s="127" t="s">
        <v>202</v>
      </c>
      <c r="J52" s="121"/>
      <c r="K52" s="158">
        <f t="shared" si="7"/>
        <v>3981.4</v>
      </c>
      <c r="L52" s="158">
        <f t="shared" si="7"/>
        <v>3978.8</v>
      </c>
      <c r="M52" s="122">
        <f t="shared" si="7"/>
        <v>3978.8</v>
      </c>
      <c r="N52" s="124"/>
      <c r="O52" s="125"/>
    </row>
    <row r="53" spans="2:15" s="123" customFormat="1">
      <c r="B53" s="120" t="s">
        <v>222</v>
      </c>
      <c r="C53" s="121" t="s">
        <v>11</v>
      </c>
      <c r="D53" s="121" t="s">
        <v>49</v>
      </c>
      <c r="E53" s="121" t="s">
        <v>13</v>
      </c>
      <c r="F53" s="127" t="s">
        <v>221</v>
      </c>
      <c r="G53" s="127" t="s">
        <v>223</v>
      </c>
      <c r="H53" s="127" t="s">
        <v>201</v>
      </c>
      <c r="I53" s="127" t="s">
        <v>202</v>
      </c>
      <c r="J53" s="121"/>
      <c r="K53" s="158">
        <f>K57+K54</f>
        <v>3981.4</v>
      </c>
      <c r="L53" s="158">
        <f>L57+L54</f>
        <v>3978.8</v>
      </c>
      <c r="M53" s="122">
        <f>M57+M54</f>
        <v>3978.8</v>
      </c>
      <c r="N53" s="124"/>
      <c r="O53" s="125"/>
    </row>
    <row r="54" spans="2:15" s="123" customFormat="1" ht="78.75">
      <c r="B54" s="120" t="s">
        <v>224</v>
      </c>
      <c r="C54" s="121" t="s">
        <v>11</v>
      </c>
      <c r="D54" s="121" t="s">
        <v>49</v>
      </c>
      <c r="E54" s="121" t="s">
        <v>13</v>
      </c>
      <c r="F54" s="127" t="s">
        <v>221</v>
      </c>
      <c r="G54" s="127" t="s">
        <v>223</v>
      </c>
      <c r="H54" s="127" t="s">
        <v>201</v>
      </c>
      <c r="I54" s="127" t="s">
        <v>225</v>
      </c>
      <c r="J54" s="121"/>
      <c r="K54" s="158">
        <f>K56</f>
        <v>2278.6</v>
      </c>
      <c r="L54" s="158">
        <f>L56</f>
        <v>2349.5</v>
      </c>
      <c r="M54" s="122">
        <f>M56</f>
        <v>2349.5</v>
      </c>
      <c r="N54" s="124"/>
      <c r="O54" s="125"/>
    </row>
    <row r="55" spans="2:15" s="123" customFormat="1">
      <c r="B55" s="120" t="s">
        <v>40</v>
      </c>
      <c r="C55" s="121" t="s">
        <v>11</v>
      </c>
      <c r="D55" s="121" t="s">
        <v>49</v>
      </c>
      <c r="E55" s="121" t="s">
        <v>13</v>
      </c>
      <c r="F55" s="127" t="s">
        <v>221</v>
      </c>
      <c r="G55" s="127" t="s">
        <v>223</v>
      </c>
      <c r="H55" s="127" t="s">
        <v>201</v>
      </c>
      <c r="I55" s="127" t="s">
        <v>225</v>
      </c>
      <c r="J55" s="85">
        <v>500</v>
      </c>
      <c r="K55" s="158">
        <f>K56</f>
        <v>2278.6</v>
      </c>
      <c r="L55" s="158">
        <f>L56</f>
        <v>2349.5</v>
      </c>
      <c r="M55" s="122">
        <f>M56</f>
        <v>2349.5</v>
      </c>
      <c r="N55" s="124"/>
      <c r="O55" s="125"/>
    </row>
    <row r="56" spans="2:15" s="123" customFormat="1">
      <c r="B56" s="120" t="s">
        <v>54</v>
      </c>
      <c r="C56" s="121" t="s">
        <v>11</v>
      </c>
      <c r="D56" s="121" t="s">
        <v>49</v>
      </c>
      <c r="E56" s="121" t="s">
        <v>13</v>
      </c>
      <c r="F56" s="127" t="s">
        <v>221</v>
      </c>
      <c r="G56" s="127" t="s">
        <v>223</v>
      </c>
      <c r="H56" s="127" t="s">
        <v>201</v>
      </c>
      <c r="I56" s="127" t="s">
        <v>225</v>
      </c>
      <c r="J56" s="85">
        <v>510</v>
      </c>
      <c r="K56" s="158">
        <f>2278.6</f>
        <v>2278.6</v>
      </c>
      <c r="L56" s="158">
        <f>2349.5</f>
        <v>2349.5</v>
      </c>
      <c r="M56" s="122">
        <f>2349.5</f>
        <v>2349.5</v>
      </c>
      <c r="N56" s="124"/>
      <c r="O56" s="125"/>
    </row>
    <row r="57" spans="2:15" s="123" customFormat="1" ht="47.25">
      <c r="B57" s="126" t="s">
        <v>53</v>
      </c>
      <c r="C57" s="121" t="s">
        <v>11</v>
      </c>
      <c r="D57" s="121" t="s">
        <v>49</v>
      </c>
      <c r="E57" s="121" t="s">
        <v>13</v>
      </c>
      <c r="F57" s="127" t="s">
        <v>221</v>
      </c>
      <c r="G57" s="127" t="s">
        <v>223</v>
      </c>
      <c r="H57" s="127" t="s">
        <v>201</v>
      </c>
      <c r="I57" s="127" t="s">
        <v>226</v>
      </c>
      <c r="J57" s="121"/>
      <c r="K57" s="158">
        <f>K59</f>
        <v>1702.8000000000002</v>
      </c>
      <c r="L57" s="158">
        <f>L59</f>
        <v>1629.3000000000002</v>
      </c>
      <c r="M57" s="122">
        <f>M59</f>
        <v>1629.3000000000002</v>
      </c>
      <c r="N57" s="124"/>
      <c r="O57" s="125"/>
    </row>
    <row r="58" spans="2:15" s="123" customFormat="1">
      <c r="B58" s="120" t="s">
        <v>40</v>
      </c>
      <c r="C58" s="121" t="s">
        <v>11</v>
      </c>
      <c r="D58" s="121" t="s">
        <v>49</v>
      </c>
      <c r="E58" s="121" t="s">
        <v>13</v>
      </c>
      <c r="F58" s="127" t="s">
        <v>221</v>
      </c>
      <c r="G58" s="127" t="s">
        <v>223</v>
      </c>
      <c r="H58" s="127" t="s">
        <v>201</v>
      </c>
      <c r="I58" s="127" t="s">
        <v>226</v>
      </c>
      <c r="J58" s="121" t="s">
        <v>41</v>
      </c>
      <c r="K58" s="158">
        <f>K59</f>
        <v>1702.8000000000002</v>
      </c>
      <c r="L58" s="158">
        <f>L59</f>
        <v>1629.3000000000002</v>
      </c>
      <c r="M58" s="122">
        <f>M59</f>
        <v>1629.3000000000002</v>
      </c>
      <c r="N58" s="124"/>
      <c r="O58" s="125"/>
    </row>
    <row r="59" spans="2:15" s="123" customFormat="1" ht="24.75" customHeight="1">
      <c r="B59" s="120" t="s">
        <v>54</v>
      </c>
      <c r="C59" s="121" t="s">
        <v>11</v>
      </c>
      <c r="D59" s="121" t="s">
        <v>49</v>
      </c>
      <c r="E59" s="121" t="s">
        <v>13</v>
      </c>
      <c r="F59" s="127" t="s">
        <v>221</v>
      </c>
      <c r="G59" s="127" t="s">
        <v>223</v>
      </c>
      <c r="H59" s="127" t="s">
        <v>201</v>
      </c>
      <c r="I59" s="127" t="s">
        <v>226</v>
      </c>
      <c r="J59" s="121" t="s">
        <v>55</v>
      </c>
      <c r="K59" s="158">
        <f>484.2+0+191.9+338.1+182.4+506.2</f>
        <v>1702.8000000000002</v>
      </c>
      <c r="L59" s="158">
        <f>(484.2+0+118.4+338.1+182.4+506.2)</f>
        <v>1629.3000000000002</v>
      </c>
      <c r="M59" s="158">
        <f>(484.2+0+118.4+338.1+182.4+506.2)</f>
        <v>1629.3000000000002</v>
      </c>
      <c r="N59" s="124"/>
      <c r="O59" s="125"/>
    </row>
    <row r="60" spans="2:15" s="117" customFormat="1" ht="31.5">
      <c r="B60" s="114" t="s">
        <v>56</v>
      </c>
      <c r="C60" s="115" t="s">
        <v>11</v>
      </c>
      <c r="D60" s="115" t="s">
        <v>49</v>
      </c>
      <c r="E60" s="115" t="s">
        <v>39</v>
      </c>
      <c r="F60" s="115"/>
      <c r="G60" s="115"/>
      <c r="H60" s="115"/>
      <c r="I60" s="115"/>
      <c r="J60" s="115"/>
      <c r="K60" s="157">
        <f t="shared" ref="K60:M62" si="8">K61</f>
        <v>1192.5</v>
      </c>
      <c r="L60" s="157">
        <f t="shared" si="8"/>
        <v>1192.5</v>
      </c>
      <c r="M60" s="116">
        <f t="shared" si="8"/>
        <v>1192.5</v>
      </c>
      <c r="N60" s="118"/>
      <c r="O60" s="119"/>
    </row>
    <row r="61" spans="2:15" s="123" customFormat="1">
      <c r="B61" s="120" t="s">
        <v>52</v>
      </c>
      <c r="C61" s="121" t="s">
        <v>11</v>
      </c>
      <c r="D61" s="121" t="s">
        <v>49</v>
      </c>
      <c r="E61" s="121" t="s">
        <v>39</v>
      </c>
      <c r="F61" s="127" t="s">
        <v>221</v>
      </c>
      <c r="G61" s="127" t="s">
        <v>200</v>
      </c>
      <c r="H61" s="127" t="s">
        <v>201</v>
      </c>
      <c r="I61" s="127" t="s">
        <v>202</v>
      </c>
      <c r="J61" s="121"/>
      <c r="K61" s="158">
        <f t="shared" si="8"/>
        <v>1192.5</v>
      </c>
      <c r="L61" s="158">
        <f t="shared" si="8"/>
        <v>1192.5</v>
      </c>
      <c r="M61" s="122">
        <f t="shared" si="8"/>
        <v>1192.5</v>
      </c>
      <c r="N61" s="124"/>
      <c r="O61" s="125"/>
    </row>
    <row r="62" spans="2:15" s="123" customFormat="1">
      <c r="B62" s="126" t="s">
        <v>227</v>
      </c>
      <c r="C62" s="121" t="s">
        <v>11</v>
      </c>
      <c r="D62" s="121" t="s">
        <v>49</v>
      </c>
      <c r="E62" s="121" t="s">
        <v>39</v>
      </c>
      <c r="F62" s="127" t="s">
        <v>221</v>
      </c>
      <c r="G62" s="127" t="s">
        <v>204</v>
      </c>
      <c r="H62" s="127" t="s">
        <v>201</v>
      </c>
      <c r="I62" s="127" t="s">
        <v>202</v>
      </c>
      <c r="J62" s="121"/>
      <c r="K62" s="158">
        <f t="shared" si="8"/>
        <v>1192.5</v>
      </c>
      <c r="L62" s="158">
        <f t="shared" si="8"/>
        <v>1192.5</v>
      </c>
      <c r="M62" s="122">
        <f t="shared" si="8"/>
        <v>1192.5</v>
      </c>
      <c r="N62" s="124"/>
      <c r="O62" s="125"/>
    </row>
    <row r="63" spans="2:15" s="123" customFormat="1" ht="47.25">
      <c r="B63" s="126" t="s">
        <v>228</v>
      </c>
      <c r="C63" s="121" t="s">
        <v>11</v>
      </c>
      <c r="D63" s="121" t="s">
        <v>49</v>
      </c>
      <c r="E63" s="121" t="s">
        <v>39</v>
      </c>
      <c r="F63" s="127" t="s">
        <v>221</v>
      </c>
      <c r="G63" s="127" t="s">
        <v>204</v>
      </c>
      <c r="H63" s="127" t="s">
        <v>201</v>
      </c>
      <c r="I63" s="127" t="s">
        <v>229</v>
      </c>
      <c r="J63" s="121"/>
      <c r="K63" s="158">
        <f>K65</f>
        <v>1192.5</v>
      </c>
      <c r="L63" s="158">
        <f>L65</f>
        <v>1192.5</v>
      </c>
      <c r="M63" s="122">
        <f>M65</f>
        <v>1192.5</v>
      </c>
      <c r="N63" s="124"/>
      <c r="O63" s="125"/>
    </row>
    <row r="64" spans="2:15" s="123" customFormat="1">
      <c r="B64" s="120" t="s">
        <v>40</v>
      </c>
      <c r="C64" s="121" t="s">
        <v>11</v>
      </c>
      <c r="D64" s="121" t="s">
        <v>49</v>
      </c>
      <c r="E64" s="121" t="s">
        <v>39</v>
      </c>
      <c r="F64" s="127" t="s">
        <v>221</v>
      </c>
      <c r="G64" s="127" t="s">
        <v>204</v>
      </c>
      <c r="H64" s="127" t="s">
        <v>201</v>
      </c>
      <c r="I64" s="127" t="s">
        <v>229</v>
      </c>
      <c r="J64" s="85">
        <v>500</v>
      </c>
      <c r="K64" s="158">
        <f>K65</f>
        <v>1192.5</v>
      </c>
      <c r="L64" s="158">
        <f>L65</f>
        <v>1192.5</v>
      </c>
      <c r="M64" s="122">
        <f>M65</f>
        <v>1192.5</v>
      </c>
      <c r="N64" s="124"/>
      <c r="O64" s="125"/>
    </row>
    <row r="65" spans="2:15" s="123" customFormat="1">
      <c r="B65" s="120" t="s">
        <v>57</v>
      </c>
      <c r="C65" s="121" t="s">
        <v>11</v>
      </c>
      <c r="D65" s="121" t="s">
        <v>49</v>
      </c>
      <c r="E65" s="121" t="s">
        <v>39</v>
      </c>
      <c r="F65" s="127" t="s">
        <v>221</v>
      </c>
      <c r="G65" s="127" t="s">
        <v>204</v>
      </c>
      <c r="H65" s="127" t="s">
        <v>201</v>
      </c>
      <c r="I65" s="127" t="s">
        <v>229</v>
      </c>
      <c r="J65" s="85">
        <v>540</v>
      </c>
      <c r="K65" s="158">
        <f>746.3+446.2</f>
        <v>1192.5</v>
      </c>
      <c r="L65" s="158">
        <f>746.3+446.2</f>
        <v>1192.5</v>
      </c>
      <c r="M65" s="122">
        <f>746.3+446.2</f>
        <v>1192.5</v>
      </c>
      <c r="N65" s="124"/>
      <c r="O65" s="125"/>
    </row>
    <row r="66" spans="2:15" s="117" customFormat="1" ht="47.25">
      <c r="B66" s="114" t="s">
        <v>58</v>
      </c>
      <c r="C66" s="115" t="s">
        <v>59</v>
      </c>
      <c r="D66" s="115"/>
      <c r="E66" s="115"/>
      <c r="F66" s="115"/>
      <c r="G66" s="115"/>
      <c r="H66" s="115"/>
      <c r="I66" s="115"/>
      <c r="J66" s="115"/>
      <c r="K66" s="157">
        <f>K67+K88+K94+K102+K109</f>
        <v>20269.2</v>
      </c>
      <c r="L66" s="157">
        <f>L67+L88+L94+L102+L109</f>
        <v>18968.127499999999</v>
      </c>
      <c r="M66" s="116">
        <f>M67+M88+M94+M102+M109</f>
        <v>19211.254999999997</v>
      </c>
      <c r="N66" s="118"/>
      <c r="O66" s="119"/>
    </row>
    <row r="67" spans="2:15" s="117" customFormat="1" ht="18.75" customHeight="1">
      <c r="B67" s="114" t="s">
        <v>12</v>
      </c>
      <c r="C67" s="115" t="s">
        <v>59</v>
      </c>
      <c r="D67" s="115" t="s">
        <v>13</v>
      </c>
      <c r="E67" s="115"/>
      <c r="F67" s="115"/>
      <c r="G67" s="115"/>
      <c r="H67" s="115"/>
      <c r="I67" s="115"/>
      <c r="J67" s="115"/>
      <c r="K67" s="157">
        <f>K68</f>
        <v>3017</v>
      </c>
      <c r="L67" s="157">
        <f>L68</f>
        <v>3314.0275000000001</v>
      </c>
      <c r="M67" s="116">
        <f>M68</f>
        <v>3378.9549999999999</v>
      </c>
      <c r="N67" s="118"/>
      <c r="O67" s="119"/>
    </row>
    <row r="68" spans="2:15" s="117" customFormat="1" ht="22.5" customHeight="1">
      <c r="B68" s="114" t="s">
        <v>33</v>
      </c>
      <c r="C68" s="115" t="s">
        <v>59</v>
      </c>
      <c r="D68" s="115" t="s">
        <v>13</v>
      </c>
      <c r="E68" s="115" t="s">
        <v>34</v>
      </c>
      <c r="F68" s="115"/>
      <c r="G68" s="115"/>
      <c r="H68" s="115"/>
      <c r="I68" s="115"/>
      <c r="J68" s="115"/>
      <c r="K68" s="157">
        <f>K69+K84</f>
        <v>3017</v>
      </c>
      <c r="L68" s="157">
        <f>L69+L84</f>
        <v>3314.0275000000001</v>
      </c>
      <c r="M68" s="116">
        <f>M69+M84</f>
        <v>3378.9549999999999</v>
      </c>
      <c r="N68" s="118"/>
      <c r="O68" s="119"/>
    </row>
    <row r="69" spans="2:15" s="123" customFormat="1" ht="31.5">
      <c r="B69" s="126" t="s">
        <v>198</v>
      </c>
      <c r="C69" s="121" t="s">
        <v>59</v>
      </c>
      <c r="D69" s="121" t="s">
        <v>13</v>
      </c>
      <c r="E69" s="121" t="s">
        <v>34</v>
      </c>
      <c r="F69" s="127" t="s">
        <v>199</v>
      </c>
      <c r="G69" s="127" t="s">
        <v>200</v>
      </c>
      <c r="H69" s="127" t="s">
        <v>201</v>
      </c>
      <c r="I69" s="127" t="s">
        <v>202</v>
      </c>
      <c r="J69" s="121"/>
      <c r="K69" s="158">
        <f>K70</f>
        <v>2967</v>
      </c>
      <c r="L69" s="158">
        <f>L70</f>
        <v>3262.7775000000001</v>
      </c>
      <c r="M69" s="122">
        <f>M70</f>
        <v>3326.4549999999999</v>
      </c>
      <c r="N69" s="124"/>
      <c r="O69" s="125"/>
    </row>
    <row r="70" spans="2:15" s="123" customFormat="1" ht="47.25">
      <c r="B70" s="126" t="s">
        <v>230</v>
      </c>
      <c r="C70" s="121" t="s">
        <v>59</v>
      </c>
      <c r="D70" s="121" t="s">
        <v>13</v>
      </c>
      <c r="E70" s="121" t="s">
        <v>34</v>
      </c>
      <c r="F70" s="127" t="s">
        <v>199</v>
      </c>
      <c r="G70" s="127" t="s">
        <v>6</v>
      </c>
      <c r="H70" s="127" t="s">
        <v>201</v>
      </c>
      <c r="I70" s="127" t="s">
        <v>202</v>
      </c>
      <c r="J70" s="121"/>
      <c r="K70" s="158">
        <f>K71+K76+K79</f>
        <v>2967</v>
      </c>
      <c r="L70" s="158">
        <f>L71+L76+L79</f>
        <v>3262.7775000000001</v>
      </c>
      <c r="M70" s="122">
        <f>M71+M76+M79</f>
        <v>3326.4549999999999</v>
      </c>
      <c r="N70" s="124"/>
      <c r="O70" s="125"/>
    </row>
    <row r="71" spans="2:15" s="123" customFormat="1" ht="31.5">
      <c r="B71" s="126" t="s">
        <v>16</v>
      </c>
      <c r="C71" s="121" t="s">
        <v>59</v>
      </c>
      <c r="D71" s="121" t="s">
        <v>13</v>
      </c>
      <c r="E71" s="121" t="s">
        <v>34</v>
      </c>
      <c r="F71" s="127" t="s">
        <v>199</v>
      </c>
      <c r="G71" s="127" t="s">
        <v>6</v>
      </c>
      <c r="H71" s="127" t="s">
        <v>201</v>
      </c>
      <c r="I71" s="127" t="s">
        <v>205</v>
      </c>
      <c r="J71" s="121"/>
      <c r="K71" s="158">
        <f>K72+K74</f>
        <v>2522.1</v>
      </c>
      <c r="L71" s="158">
        <f>L72+L74</f>
        <v>2585.1525000000001</v>
      </c>
      <c r="M71" s="122">
        <f>M72+M74</f>
        <v>2648.2049999999999</v>
      </c>
      <c r="N71" s="124"/>
      <c r="O71" s="125"/>
    </row>
    <row r="72" spans="2:15" s="123" customFormat="1" ht="94.5">
      <c r="B72" s="120" t="s">
        <v>17</v>
      </c>
      <c r="C72" s="121" t="s">
        <v>59</v>
      </c>
      <c r="D72" s="121" t="s">
        <v>13</v>
      </c>
      <c r="E72" s="121" t="s">
        <v>34</v>
      </c>
      <c r="F72" s="127" t="s">
        <v>199</v>
      </c>
      <c r="G72" s="127" t="s">
        <v>6</v>
      </c>
      <c r="H72" s="127" t="s">
        <v>201</v>
      </c>
      <c r="I72" s="127" t="s">
        <v>205</v>
      </c>
      <c r="J72" s="121" t="s">
        <v>18</v>
      </c>
      <c r="K72" s="158">
        <f>K73</f>
        <v>2340</v>
      </c>
      <c r="L72" s="158">
        <f>L73</f>
        <v>2398.5</v>
      </c>
      <c r="M72" s="122">
        <f>M73</f>
        <v>2457</v>
      </c>
      <c r="N72" s="124"/>
      <c r="O72" s="125"/>
    </row>
    <row r="73" spans="2:15" s="123" customFormat="1" ht="31.5">
      <c r="B73" s="120" t="s">
        <v>19</v>
      </c>
      <c r="C73" s="121" t="s">
        <v>59</v>
      </c>
      <c r="D73" s="121" t="s">
        <v>13</v>
      </c>
      <c r="E73" s="121" t="s">
        <v>34</v>
      </c>
      <c r="F73" s="127" t="s">
        <v>199</v>
      </c>
      <c r="G73" s="127" t="s">
        <v>6</v>
      </c>
      <c r="H73" s="127" t="s">
        <v>201</v>
      </c>
      <c r="I73" s="127" t="s">
        <v>205</v>
      </c>
      <c r="J73" s="121" t="s">
        <v>20</v>
      </c>
      <c r="K73" s="158">
        <f>2340</f>
        <v>2340</v>
      </c>
      <c r="L73" s="158">
        <f>2340*102.5%</f>
        <v>2398.5</v>
      </c>
      <c r="M73" s="122">
        <f>2340*105%</f>
        <v>2457</v>
      </c>
      <c r="N73" s="124"/>
      <c r="O73" s="125"/>
    </row>
    <row r="74" spans="2:15" s="123" customFormat="1" ht="47.25">
      <c r="B74" s="120" t="s">
        <v>206</v>
      </c>
      <c r="C74" s="121" t="s">
        <v>59</v>
      </c>
      <c r="D74" s="121" t="s">
        <v>13</v>
      </c>
      <c r="E74" s="121" t="s">
        <v>34</v>
      </c>
      <c r="F74" s="127" t="s">
        <v>199</v>
      </c>
      <c r="G74" s="127" t="s">
        <v>6</v>
      </c>
      <c r="H74" s="127" t="s">
        <v>201</v>
      </c>
      <c r="I74" s="127" t="s">
        <v>205</v>
      </c>
      <c r="J74" s="121" t="s">
        <v>22</v>
      </c>
      <c r="K74" s="158">
        <f>K75</f>
        <v>182.1</v>
      </c>
      <c r="L74" s="158">
        <f>L75</f>
        <v>186.65249999999997</v>
      </c>
      <c r="M74" s="122">
        <f>M75</f>
        <v>191.20500000000001</v>
      </c>
      <c r="N74" s="124"/>
      <c r="O74" s="125"/>
    </row>
    <row r="75" spans="2:15" s="123" customFormat="1" ht="47.25">
      <c r="B75" s="120" t="s">
        <v>23</v>
      </c>
      <c r="C75" s="121" t="s">
        <v>59</v>
      </c>
      <c r="D75" s="121" t="s">
        <v>13</v>
      </c>
      <c r="E75" s="121" t="s">
        <v>34</v>
      </c>
      <c r="F75" s="127" t="s">
        <v>199</v>
      </c>
      <c r="G75" s="127" t="s">
        <v>6</v>
      </c>
      <c r="H75" s="127" t="s">
        <v>201</v>
      </c>
      <c r="I75" s="127" t="s">
        <v>205</v>
      </c>
      <c r="J75" s="121" t="s">
        <v>24</v>
      </c>
      <c r="K75" s="158">
        <f>182.1</f>
        <v>182.1</v>
      </c>
      <c r="L75" s="158">
        <f>182.1*102.5%</f>
        <v>186.65249999999997</v>
      </c>
      <c r="M75" s="122">
        <f>182.1*105%</f>
        <v>191.20500000000001</v>
      </c>
      <c r="N75" s="124"/>
      <c r="O75" s="125"/>
    </row>
    <row r="76" spans="2:15" s="123" customFormat="1" ht="47.25">
      <c r="B76" s="126" t="s">
        <v>207</v>
      </c>
      <c r="C76" s="121" t="s">
        <v>59</v>
      </c>
      <c r="D76" s="121" t="s">
        <v>13</v>
      </c>
      <c r="E76" s="121" t="s">
        <v>34</v>
      </c>
      <c r="F76" s="127" t="s">
        <v>199</v>
      </c>
      <c r="G76" s="127" t="s">
        <v>6</v>
      </c>
      <c r="H76" s="127" t="s">
        <v>201</v>
      </c>
      <c r="I76" s="127" t="s">
        <v>208</v>
      </c>
      <c r="J76" s="121"/>
      <c r="K76" s="158">
        <f t="shared" ref="K76:M77" si="9">K77</f>
        <v>25</v>
      </c>
      <c r="L76" s="158">
        <f t="shared" si="9"/>
        <v>25.624999999999996</v>
      </c>
      <c r="M76" s="122">
        <f t="shared" si="9"/>
        <v>26.25</v>
      </c>
      <c r="N76" s="124"/>
      <c r="O76" s="125"/>
    </row>
    <row r="77" spans="2:15" s="123" customFormat="1">
      <c r="B77" s="120" t="s">
        <v>25</v>
      </c>
      <c r="C77" s="121" t="s">
        <v>59</v>
      </c>
      <c r="D77" s="121" t="s">
        <v>13</v>
      </c>
      <c r="E77" s="121" t="s">
        <v>34</v>
      </c>
      <c r="F77" s="127" t="s">
        <v>199</v>
      </c>
      <c r="G77" s="127" t="s">
        <v>6</v>
      </c>
      <c r="H77" s="127" t="s">
        <v>201</v>
      </c>
      <c r="I77" s="127" t="s">
        <v>208</v>
      </c>
      <c r="J77" s="121" t="s">
        <v>26</v>
      </c>
      <c r="K77" s="158">
        <f t="shared" si="9"/>
        <v>25</v>
      </c>
      <c r="L77" s="158">
        <f t="shared" si="9"/>
        <v>25.624999999999996</v>
      </c>
      <c r="M77" s="122">
        <f t="shared" si="9"/>
        <v>26.25</v>
      </c>
      <c r="N77" s="124"/>
      <c r="O77" s="125"/>
    </row>
    <row r="78" spans="2:15" s="123" customFormat="1">
      <c r="B78" s="120" t="s">
        <v>27</v>
      </c>
      <c r="C78" s="121" t="s">
        <v>59</v>
      </c>
      <c r="D78" s="121" t="s">
        <v>13</v>
      </c>
      <c r="E78" s="121" t="s">
        <v>34</v>
      </c>
      <c r="F78" s="127" t="s">
        <v>199</v>
      </c>
      <c r="G78" s="127" t="s">
        <v>6</v>
      </c>
      <c r="H78" s="127" t="s">
        <v>201</v>
      </c>
      <c r="I78" s="127" t="s">
        <v>208</v>
      </c>
      <c r="J78" s="121" t="s">
        <v>28</v>
      </c>
      <c r="K78" s="158">
        <f>25</f>
        <v>25</v>
      </c>
      <c r="L78" s="158">
        <f>25*102.5%</f>
        <v>25.624999999999996</v>
      </c>
      <c r="M78" s="122">
        <f>25*105%</f>
        <v>26.25</v>
      </c>
      <c r="N78" s="124"/>
      <c r="O78" s="125"/>
    </row>
    <row r="79" spans="2:15" s="123" customFormat="1" ht="78.75">
      <c r="B79" s="120" t="s">
        <v>231</v>
      </c>
      <c r="C79" s="121" t="s">
        <v>59</v>
      </c>
      <c r="D79" s="121" t="s">
        <v>13</v>
      </c>
      <c r="E79" s="121" t="s">
        <v>34</v>
      </c>
      <c r="F79" s="127" t="s">
        <v>199</v>
      </c>
      <c r="G79" s="127" t="s">
        <v>6</v>
      </c>
      <c r="H79" s="127" t="s">
        <v>201</v>
      </c>
      <c r="I79" s="127" t="s">
        <v>232</v>
      </c>
      <c r="J79" s="121"/>
      <c r="K79" s="158">
        <f>K80+K82</f>
        <v>419.9</v>
      </c>
      <c r="L79" s="158">
        <f>L80+L82</f>
        <v>652</v>
      </c>
      <c r="M79" s="122">
        <f>M80+M82</f>
        <v>652</v>
      </c>
      <c r="N79" s="124"/>
      <c r="O79" s="125"/>
    </row>
    <row r="80" spans="2:15" s="123" customFormat="1" ht="94.5">
      <c r="B80" s="120" t="s">
        <v>17</v>
      </c>
      <c r="C80" s="121" t="s">
        <v>59</v>
      </c>
      <c r="D80" s="121" t="s">
        <v>13</v>
      </c>
      <c r="E80" s="121" t="s">
        <v>34</v>
      </c>
      <c r="F80" s="127" t="s">
        <v>199</v>
      </c>
      <c r="G80" s="127" t="s">
        <v>6</v>
      </c>
      <c r="H80" s="127" t="s">
        <v>201</v>
      </c>
      <c r="I80" s="127" t="s">
        <v>232</v>
      </c>
      <c r="J80" s="121" t="s">
        <v>18</v>
      </c>
      <c r="K80" s="158">
        <f>K81</f>
        <v>361</v>
      </c>
      <c r="L80" s="158">
        <f>L81</f>
        <v>591</v>
      </c>
      <c r="M80" s="122">
        <f>M81</f>
        <v>591</v>
      </c>
      <c r="N80" s="124"/>
      <c r="O80" s="125"/>
    </row>
    <row r="81" spans="2:15" s="123" customFormat="1" ht="31.5">
      <c r="B81" s="120" t="s">
        <v>19</v>
      </c>
      <c r="C81" s="121" t="s">
        <v>59</v>
      </c>
      <c r="D81" s="121" t="s">
        <v>13</v>
      </c>
      <c r="E81" s="121" t="s">
        <v>34</v>
      </c>
      <c r="F81" s="127" t="s">
        <v>199</v>
      </c>
      <c r="G81" s="127" t="s">
        <v>6</v>
      </c>
      <c r="H81" s="127" t="s">
        <v>201</v>
      </c>
      <c r="I81" s="127" t="s">
        <v>232</v>
      </c>
      <c r="J81" s="121" t="s">
        <v>20</v>
      </c>
      <c r="K81" s="158">
        <f>361</f>
        <v>361</v>
      </c>
      <c r="L81" s="158">
        <f>591</f>
        <v>591</v>
      </c>
      <c r="M81" s="122">
        <f>591</f>
        <v>591</v>
      </c>
      <c r="N81" s="124"/>
      <c r="O81" s="125"/>
    </row>
    <row r="82" spans="2:15" s="123" customFormat="1" ht="47.25">
      <c r="B82" s="120" t="s">
        <v>206</v>
      </c>
      <c r="C82" s="121" t="s">
        <v>59</v>
      </c>
      <c r="D82" s="121" t="s">
        <v>13</v>
      </c>
      <c r="E82" s="121" t="s">
        <v>34</v>
      </c>
      <c r="F82" s="127" t="s">
        <v>199</v>
      </c>
      <c r="G82" s="127" t="s">
        <v>6</v>
      </c>
      <c r="H82" s="127" t="s">
        <v>201</v>
      </c>
      <c r="I82" s="127" t="s">
        <v>232</v>
      </c>
      <c r="J82" s="121" t="s">
        <v>22</v>
      </c>
      <c r="K82" s="158">
        <f>K83</f>
        <v>58.9</v>
      </c>
      <c r="L82" s="158">
        <f>L83</f>
        <v>61</v>
      </c>
      <c r="M82" s="122">
        <f>M83</f>
        <v>61</v>
      </c>
      <c r="N82" s="124"/>
      <c r="O82" s="125"/>
    </row>
    <row r="83" spans="2:15" s="123" customFormat="1" ht="47.25">
      <c r="B83" s="120" t="s">
        <v>23</v>
      </c>
      <c r="C83" s="121" t="s">
        <v>59</v>
      </c>
      <c r="D83" s="121" t="s">
        <v>13</v>
      </c>
      <c r="E83" s="121" t="s">
        <v>34</v>
      </c>
      <c r="F83" s="127" t="s">
        <v>199</v>
      </c>
      <c r="G83" s="127" t="s">
        <v>6</v>
      </c>
      <c r="H83" s="127" t="s">
        <v>201</v>
      </c>
      <c r="I83" s="127" t="s">
        <v>232</v>
      </c>
      <c r="J83" s="121" t="s">
        <v>24</v>
      </c>
      <c r="K83" s="158">
        <f>58.9</f>
        <v>58.9</v>
      </c>
      <c r="L83" s="158">
        <f>61</f>
        <v>61</v>
      </c>
      <c r="M83" s="122">
        <f>61</f>
        <v>61</v>
      </c>
      <c r="N83" s="124"/>
      <c r="O83" s="125"/>
    </row>
    <row r="84" spans="2:15" s="123" customFormat="1" ht="31.5">
      <c r="B84" s="126" t="s">
        <v>233</v>
      </c>
      <c r="C84" s="121" t="s">
        <v>59</v>
      </c>
      <c r="D84" s="121" t="s">
        <v>13</v>
      </c>
      <c r="E84" s="121" t="s">
        <v>34</v>
      </c>
      <c r="F84" s="127" t="s">
        <v>234</v>
      </c>
      <c r="G84" s="127" t="s">
        <v>200</v>
      </c>
      <c r="H84" s="127" t="s">
        <v>201</v>
      </c>
      <c r="I84" s="127" t="s">
        <v>202</v>
      </c>
      <c r="J84" s="121"/>
      <c r="K84" s="158">
        <f t="shared" ref="K84:M86" si="10">K85</f>
        <v>50</v>
      </c>
      <c r="L84" s="158">
        <f t="shared" si="10"/>
        <v>51.249999999999993</v>
      </c>
      <c r="M84" s="122">
        <f t="shared" si="10"/>
        <v>52.5</v>
      </c>
      <c r="N84" s="124"/>
      <c r="O84" s="125"/>
    </row>
    <row r="85" spans="2:15" s="123" customFormat="1" ht="47.25">
      <c r="B85" s="126" t="s">
        <v>60</v>
      </c>
      <c r="C85" s="121" t="s">
        <v>59</v>
      </c>
      <c r="D85" s="121" t="s">
        <v>13</v>
      </c>
      <c r="E85" s="121" t="s">
        <v>34</v>
      </c>
      <c r="F85" s="127" t="s">
        <v>234</v>
      </c>
      <c r="G85" s="127" t="s">
        <v>200</v>
      </c>
      <c r="H85" s="127" t="s">
        <v>201</v>
      </c>
      <c r="I85" s="127" t="s">
        <v>235</v>
      </c>
      <c r="J85" s="121"/>
      <c r="K85" s="158">
        <f t="shared" si="10"/>
        <v>50</v>
      </c>
      <c r="L85" s="158">
        <f t="shared" si="10"/>
        <v>51.249999999999993</v>
      </c>
      <c r="M85" s="122">
        <f t="shared" si="10"/>
        <v>52.5</v>
      </c>
      <c r="N85" s="124"/>
      <c r="O85" s="125"/>
    </row>
    <row r="86" spans="2:15" s="123" customFormat="1" ht="47.25">
      <c r="B86" s="120" t="s">
        <v>206</v>
      </c>
      <c r="C86" s="121" t="s">
        <v>59</v>
      </c>
      <c r="D86" s="121" t="s">
        <v>13</v>
      </c>
      <c r="E86" s="121" t="s">
        <v>34</v>
      </c>
      <c r="F86" s="127" t="s">
        <v>234</v>
      </c>
      <c r="G86" s="127" t="s">
        <v>200</v>
      </c>
      <c r="H86" s="127" t="s">
        <v>201</v>
      </c>
      <c r="I86" s="127" t="s">
        <v>235</v>
      </c>
      <c r="J86" s="121" t="s">
        <v>22</v>
      </c>
      <c r="K86" s="158">
        <f t="shared" si="10"/>
        <v>50</v>
      </c>
      <c r="L86" s="158">
        <f t="shared" si="10"/>
        <v>51.249999999999993</v>
      </c>
      <c r="M86" s="122">
        <f t="shared" si="10"/>
        <v>52.5</v>
      </c>
      <c r="N86" s="124"/>
      <c r="O86" s="125"/>
    </row>
    <row r="87" spans="2:15" s="123" customFormat="1" ht="47.25">
      <c r="B87" s="120" t="s">
        <v>23</v>
      </c>
      <c r="C87" s="121" t="s">
        <v>59</v>
      </c>
      <c r="D87" s="121" t="s">
        <v>13</v>
      </c>
      <c r="E87" s="121" t="s">
        <v>34</v>
      </c>
      <c r="F87" s="127" t="s">
        <v>234</v>
      </c>
      <c r="G87" s="127" t="s">
        <v>200</v>
      </c>
      <c r="H87" s="127" t="s">
        <v>201</v>
      </c>
      <c r="I87" s="127" t="s">
        <v>235</v>
      </c>
      <c r="J87" s="121" t="s">
        <v>24</v>
      </c>
      <c r="K87" s="158">
        <f>50</f>
        <v>50</v>
      </c>
      <c r="L87" s="158">
        <f>50*102.5%</f>
        <v>51.249999999999993</v>
      </c>
      <c r="M87" s="122">
        <f>50*105%</f>
        <v>52.5</v>
      </c>
      <c r="N87" s="124"/>
      <c r="O87" s="125"/>
    </row>
    <row r="88" spans="2:15" s="117" customFormat="1">
      <c r="B88" s="114" t="s">
        <v>61</v>
      </c>
      <c r="C88" s="115" t="s">
        <v>59</v>
      </c>
      <c r="D88" s="115" t="s">
        <v>62</v>
      </c>
      <c r="E88" s="115"/>
      <c r="F88" s="115"/>
      <c r="G88" s="115"/>
      <c r="H88" s="115"/>
      <c r="I88" s="115"/>
      <c r="J88" s="115"/>
      <c r="K88" s="157">
        <f t="shared" ref="K88:M92" si="11">K89</f>
        <v>100</v>
      </c>
      <c r="L88" s="157">
        <f t="shared" si="11"/>
        <v>102.49999999999999</v>
      </c>
      <c r="M88" s="116">
        <f t="shared" si="11"/>
        <v>105</v>
      </c>
      <c r="N88" s="118"/>
      <c r="O88" s="119"/>
    </row>
    <row r="89" spans="2:15" s="117" customFormat="1" ht="31.5">
      <c r="B89" s="114" t="s">
        <v>63</v>
      </c>
      <c r="C89" s="115" t="s">
        <v>59</v>
      </c>
      <c r="D89" s="115" t="s">
        <v>62</v>
      </c>
      <c r="E89" s="115" t="s">
        <v>64</v>
      </c>
      <c r="F89" s="115"/>
      <c r="G89" s="115"/>
      <c r="H89" s="115"/>
      <c r="I89" s="115"/>
      <c r="J89" s="115"/>
      <c r="K89" s="157">
        <f t="shared" si="11"/>
        <v>100</v>
      </c>
      <c r="L89" s="157">
        <f t="shared" si="11"/>
        <v>102.49999999999999</v>
      </c>
      <c r="M89" s="116">
        <f t="shared" si="11"/>
        <v>105</v>
      </c>
      <c r="N89" s="118"/>
      <c r="O89" s="119"/>
    </row>
    <row r="90" spans="2:15" s="123" customFormat="1" ht="31.5">
      <c r="B90" s="120" t="s">
        <v>233</v>
      </c>
      <c r="C90" s="121" t="s">
        <v>59</v>
      </c>
      <c r="D90" s="121" t="s">
        <v>62</v>
      </c>
      <c r="E90" s="121" t="s">
        <v>64</v>
      </c>
      <c r="F90" s="127" t="s">
        <v>234</v>
      </c>
      <c r="G90" s="127" t="s">
        <v>200</v>
      </c>
      <c r="H90" s="127" t="s">
        <v>201</v>
      </c>
      <c r="I90" s="127" t="s">
        <v>202</v>
      </c>
      <c r="J90" s="121"/>
      <c r="K90" s="158">
        <f t="shared" si="11"/>
        <v>100</v>
      </c>
      <c r="L90" s="158">
        <f t="shared" si="11"/>
        <v>102.49999999999999</v>
      </c>
      <c r="M90" s="122">
        <f t="shared" si="11"/>
        <v>105</v>
      </c>
      <c r="N90" s="124"/>
      <c r="O90" s="125"/>
    </row>
    <row r="91" spans="2:15" s="123" customFormat="1" ht="31.5">
      <c r="B91" s="120" t="s">
        <v>65</v>
      </c>
      <c r="C91" s="121" t="s">
        <v>59</v>
      </c>
      <c r="D91" s="121" t="s">
        <v>62</v>
      </c>
      <c r="E91" s="121" t="s">
        <v>64</v>
      </c>
      <c r="F91" s="127" t="s">
        <v>234</v>
      </c>
      <c r="G91" s="127" t="s">
        <v>200</v>
      </c>
      <c r="H91" s="127" t="s">
        <v>201</v>
      </c>
      <c r="I91" s="127" t="s">
        <v>236</v>
      </c>
      <c r="J91" s="121"/>
      <c r="K91" s="158">
        <f t="shared" si="11"/>
        <v>100</v>
      </c>
      <c r="L91" s="158">
        <f t="shared" si="11"/>
        <v>102.49999999999999</v>
      </c>
      <c r="M91" s="122">
        <f t="shared" si="11"/>
        <v>105</v>
      </c>
      <c r="N91" s="124"/>
      <c r="O91" s="125"/>
    </row>
    <row r="92" spans="2:15" s="123" customFormat="1" ht="47.25">
      <c r="B92" s="120" t="s">
        <v>206</v>
      </c>
      <c r="C92" s="121" t="s">
        <v>59</v>
      </c>
      <c r="D92" s="121" t="s">
        <v>62</v>
      </c>
      <c r="E92" s="121" t="s">
        <v>64</v>
      </c>
      <c r="F92" s="127" t="s">
        <v>234</v>
      </c>
      <c r="G92" s="127" t="s">
        <v>200</v>
      </c>
      <c r="H92" s="127" t="s">
        <v>201</v>
      </c>
      <c r="I92" s="127" t="s">
        <v>236</v>
      </c>
      <c r="J92" s="121" t="s">
        <v>22</v>
      </c>
      <c r="K92" s="158">
        <f t="shared" si="11"/>
        <v>100</v>
      </c>
      <c r="L92" s="158">
        <f t="shared" si="11"/>
        <v>102.49999999999999</v>
      </c>
      <c r="M92" s="122">
        <f t="shared" si="11"/>
        <v>105</v>
      </c>
      <c r="N92" s="124"/>
      <c r="O92" s="125"/>
    </row>
    <row r="93" spans="2:15" s="123" customFormat="1" ht="47.25">
      <c r="B93" s="120" t="s">
        <v>23</v>
      </c>
      <c r="C93" s="121" t="s">
        <v>59</v>
      </c>
      <c r="D93" s="121" t="s">
        <v>62</v>
      </c>
      <c r="E93" s="121" t="s">
        <v>64</v>
      </c>
      <c r="F93" s="127" t="s">
        <v>234</v>
      </c>
      <c r="G93" s="127" t="s">
        <v>200</v>
      </c>
      <c r="H93" s="127" t="s">
        <v>201</v>
      </c>
      <c r="I93" s="127" t="s">
        <v>236</v>
      </c>
      <c r="J93" s="121" t="s">
        <v>24</v>
      </c>
      <c r="K93" s="158">
        <f>100</f>
        <v>100</v>
      </c>
      <c r="L93" s="158">
        <f>100*102.5%</f>
        <v>102.49999999999999</v>
      </c>
      <c r="M93" s="122">
        <f>100*105%</f>
        <v>105</v>
      </c>
      <c r="N93" s="124"/>
      <c r="O93" s="125"/>
    </row>
    <row r="94" spans="2:15" s="117" customFormat="1">
      <c r="B94" s="114" t="s">
        <v>66</v>
      </c>
      <c r="C94" s="115" t="s">
        <v>59</v>
      </c>
      <c r="D94" s="115" t="s">
        <v>67</v>
      </c>
      <c r="E94" s="115"/>
      <c r="F94" s="115"/>
      <c r="G94" s="115"/>
      <c r="H94" s="115"/>
      <c r="I94" s="115"/>
      <c r="J94" s="115"/>
      <c r="K94" s="157">
        <f t="shared" ref="K94:M100" si="12">K95</f>
        <v>2600</v>
      </c>
      <c r="L94" s="157">
        <f t="shared" si="12"/>
        <v>2721.2</v>
      </c>
      <c r="M94" s="116">
        <f t="shared" si="12"/>
        <v>2896.9</v>
      </c>
      <c r="N94" s="118"/>
      <c r="O94" s="119"/>
    </row>
    <row r="95" spans="2:15" s="117" customFormat="1">
      <c r="B95" s="114" t="s">
        <v>68</v>
      </c>
      <c r="C95" s="115" t="s">
        <v>59</v>
      </c>
      <c r="D95" s="115" t="s">
        <v>67</v>
      </c>
      <c r="E95" s="115" t="s">
        <v>38</v>
      </c>
      <c r="F95" s="115"/>
      <c r="G95" s="115"/>
      <c r="H95" s="115"/>
      <c r="I95" s="115"/>
      <c r="J95" s="115"/>
      <c r="K95" s="157">
        <f t="shared" si="12"/>
        <v>2600</v>
      </c>
      <c r="L95" s="157">
        <f t="shared" si="12"/>
        <v>2721.2</v>
      </c>
      <c r="M95" s="116">
        <f t="shared" si="12"/>
        <v>2896.9</v>
      </c>
      <c r="N95" s="118"/>
      <c r="O95" s="119"/>
    </row>
    <row r="96" spans="2:15" s="123" customFormat="1" ht="63">
      <c r="B96" s="126" t="s">
        <v>237</v>
      </c>
      <c r="C96" s="121" t="s">
        <v>59</v>
      </c>
      <c r="D96" s="121" t="s">
        <v>67</v>
      </c>
      <c r="E96" s="121" t="s">
        <v>38</v>
      </c>
      <c r="F96" s="129" t="s">
        <v>238</v>
      </c>
      <c r="G96" s="129" t="s">
        <v>200</v>
      </c>
      <c r="H96" s="129" t="s">
        <v>201</v>
      </c>
      <c r="I96" s="129" t="s">
        <v>202</v>
      </c>
      <c r="J96" s="121"/>
      <c r="K96" s="158">
        <f t="shared" si="12"/>
        <v>2600</v>
      </c>
      <c r="L96" s="158">
        <f t="shared" si="12"/>
        <v>2721.2</v>
      </c>
      <c r="M96" s="122">
        <f t="shared" si="12"/>
        <v>2896.9</v>
      </c>
      <c r="N96" s="124"/>
      <c r="O96" s="125"/>
    </row>
    <row r="97" spans="2:15" s="123" customFormat="1" ht="31.5">
      <c r="B97" s="126" t="s">
        <v>69</v>
      </c>
      <c r="C97" s="121" t="s">
        <v>59</v>
      </c>
      <c r="D97" s="121" t="s">
        <v>67</v>
      </c>
      <c r="E97" s="121" t="s">
        <v>38</v>
      </c>
      <c r="F97" s="129" t="s">
        <v>238</v>
      </c>
      <c r="G97" s="129" t="s">
        <v>6</v>
      </c>
      <c r="H97" s="129" t="s">
        <v>201</v>
      </c>
      <c r="I97" s="129" t="s">
        <v>202</v>
      </c>
      <c r="J97" s="121"/>
      <c r="K97" s="158">
        <f t="shared" si="12"/>
        <v>2600</v>
      </c>
      <c r="L97" s="158">
        <f t="shared" si="12"/>
        <v>2721.2</v>
      </c>
      <c r="M97" s="122">
        <f t="shared" si="12"/>
        <v>2896.9</v>
      </c>
      <c r="N97" s="124"/>
      <c r="O97" s="125"/>
    </row>
    <row r="98" spans="2:15" s="123" customFormat="1" ht="31.5">
      <c r="B98" s="120" t="s">
        <v>239</v>
      </c>
      <c r="C98" s="121" t="s">
        <v>59</v>
      </c>
      <c r="D98" s="121" t="s">
        <v>67</v>
      </c>
      <c r="E98" s="121" t="s">
        <v>38</v>
      </c>
      <c r="F98" s="129" t="s">
        <v>238</v>
      </c>
      <c r="G98" s="129" t="s">
        <v>6</v>
      </c>
      <c r="H98" s="129" t="s">
        <v>13</v>
      </c>
      <c r="I98" s="129" t="s">
        <v>202</v>
      </c>
      <c r="J98" s="121"/>
      <c r="K98" s="158">
        <f t="shared" si="12"/>
        <v>2600</v>
      </c>
      <c r="L98" s="158">
        <f t="shared" si="12"/>
        <v>2721.2</v>
      </c>
      <c r="M98" s="122">
        <f t="shared" si="12"/>
        <v>2896.9</v>
      </c>
      <c r="N98" s="124"/>
      <c r="O98" s="125"/>
    </row>
    <row r="99" spans="2:15" s="123" customFormat="1">
      <c r="B99" s="126" t="s">
        <v>240</v>
      </c>
      <c r="C99" s="121" t="s">
        <v>59</v>
      </c>
      <c r="D99" s="121" t="s">
        <v>67</v>
      </c>
      <c r="E99" s="121" t="s">
        <v>38</v>
      </c>
      <c r="F99" s="129" t="s">
        <v>238</v>
      </c>
      <c r="G99" s="129" t="s">
        <v>6</v>
      </c>
      <c r="H99" s="129" t="s">
        <v>13</v>
      </c>
      <c r="I99" s="129" t="s">
        <v>241</v>
      </c>
      <c r="J99" s="130"/>
      <c r="K99" s="159">
        <f t="shared" si="12"/>
        <v>2600</v>
      </c>
      <c r="L99" s="159">
        <f t="shared" si="12"/>
        <v>2721.2</v>
      </c>
      <c r="M99" s="131">
        <f t="shared" si="12"/>
        <v>2896.9</v>
      </c>
      <c r="N99" s="124"/>
      <c r="O99" s="125"/>
    </row>
    <row r="100" spans="2:15" s="123" customFormat="1" ht="47.25">
      <c r="B100" s="120" t="s">
        <v>206</v>
      </c>
      <c r="C100" s="121" t="s">
        <v>59</v>
      </c>
      <c r="D100" s="121" t="s">
        <v>67</v>
      </c>
      <c r="E100" s="121" t="s">
        <v>38</v>
      </c>
      <c r="F100" s="129" t="s">
        <v>238</v>
      </c>
      <c r="G100" s="129" t="s">
        <v>6</v>
      </c>
      <c r="H100" s="129" t="s">
        <v>13</v>
      </c>
      <c r="I100" s="129" t="s">
        <v>241</v>
      </c>
      <c r="J100" s="130">
        <v>200</v>
      </c>
      <c r="K100" s="159">
        <f t="shared" si="12"/>
        <v>2600</v>
      </c>
      <c r="L100" s="159">
        <f t="shared" si="12"/>
        <v>2721.2</v>
      </c>
      <c r="M100" s="131">
        <f t="shared" si="12"/>
        <v>2896.9</v>
      </c>
      <c r="N100" s="124"/>
      <c r="O100" s="125"/>
    </row>
    <row r="101" spans="2:15" s="123" customFormat="1" ht="47.25">
      <c r="B101" s="120" t="s">
        <v>23</v>
      </c>
      <c r="C101" s="121" t="s">
        <v>59</v>
      </c>
      <c r="D101" s="121" t="s">
        <v>67</v>
      </c>
      <c r="E101" s="121" t="s">
        <v>38</v>
      </c>
      <c r="F101" s="129" t="s">
        <v>238</v>
      </c>
      <c r="G101" s="129" t="s">
        <v>6</v>
      </c>
      <c r="H101" s="129" t="s">
        <v>13</v>
      </c>
      <c r="I101" s="129" t="s">
        <v>241</v>
      </c>
      <c r="J101" s="130">
        <v>240</v>
      </c>
      <c r="K101" s="159">
        <f>(500+500+500+500+300+300)</f>
        <v>2600</v>
      </c>
      <c r="L101" s="159">
        <f>(500+500+500+500+300+300)+121.2</f>
        <v>2721.2</v>
      </c>
      <c r="M101" s="131">
        <f>(500+500+500+500+300+300)+296.9</f>
        <v>2896.9</v>
      </c>
      <c r="N101" s="124"/>
      <c r="O101" s="125"/>
    </row>
    <row r="102" spans="2:15" s="117" customFormat="1">
      <c r="B102" s="114" t="s">
        <v>70</v>
      </c>
      <c r="C102" s="115" t="s">
        <v>59</v>
      </c>
      <c r="D102" s="115" t="s">
        <v>71</v>
      </c>
      <c r="E102" s="115"/>
      <c r="F102" s="115"/>
      <c r="G102" s="115"/>
      <c r="H102" s="115"/>
      <c r="I102" s="115"/>
      <c r="J102" s="115"/>
      <c r="K102" s="157">
        <f t="shared" ref="K102:M107" si="13">K103</f>
        <v>100</v>
      </c>
      <c r="L102" s="157">
        <f t="shared" si="13"/>
        <v>0</v>
      </c>
      <c r="M102" s="116">
        <f t="shared" si="13"/>
        <v>0</v>
      </c>
      <c r="N102" s="118"/>
      <c r="O102" s="119"/>
    </row>
    <row r="103" spans="2:15" s="117" customFormat="1">
      <c r="B103" s="114" t="s">
        <v>72</v>
      </c>
      <c r="C103" s="115" t="s">
        <v>59</v>
      </c>
      <c r="D103" s="115" t="s">
        <v>71</v>
      </c>
      <c r="E103" s="115" t="s">
        <v>13</v>
      </c>
      <c r="F103" s="115"/>
      <c r="G103" s="115"/>
      <c r="H103" s="115"/>
      <c r="I103" s="115"/>
      <c r="J103" s="115"/>
      <c r="K103" s="157">
        <f t="shared" si="13"/>
        <v>100</v>
      </c>
      <c r="L103" s="157">
        <f t="shared" si="13"/>
        <v>0</v>
      </c>
      <c r="M103" s="116">
        <f t="shared" si="13"/>
        <v>0</v>
      </c>
      <c r="N103" s="118"/>
      <c r="O103" s="119"/>
    </row>
    <row r="104" spans="2:15" s="123" customFormat="1" ht="31.5">
      <c r="B104" s="120" t="s">
        <v>242</v>
      </c>
      <c r="C104" s="121" t="s">
        <v>59</v>
      </c>
      <c r="D104" s="121" t="s">
        <v>71</v>
      </c>
      <c r="E104" s="121" t="s">
        <v>13</v>
      </c>
      <c r="F104" s="127" t="s">
        <v>211</v>
      </c>
      <c r="G104" s="127" t="s">
        <v>200</v>
      </c>
      <c r="H104" s="127" t="s">
        <v>201</v>
      </c>
      <c r="I104" s="127" t="s">
        <v>202</v>
      </c>
      <c r="J104" s="121"/>
      <c r="K104" s="158">
        <f t="shared" si="13"/>
        <v>100</v>
      </c>
      <c r="L104" s="158">
        <f t="shared" si="13"/>
        <v>0</v>
      </c>
      <c r="M104" s="122">
        <f t="shared" si="13"/>
        <v>0</v>
      </c>
      <c r="N104" s="124"/>
      <c r="O104" s="125"/>
    </row>
    <row r="105" spans="2:15" s="123" customFormat="1" ht="31.5">
      <c r="B105" s="120" t="s">
        <v>243</v>
      </c>
      <c r="C105" s="121" t="s">
        <v>59</v>
      </c>
      <c r="D105" s="121" t="s">
        <v>71</v>
      </c>
      <c r="E105" s="121" t="s">
        <v>13</v>
      </c>
      <c r="F105" s="127" t="s">
        <v>211</v>
      </c>
      <c r="G105" s="127" t="s">
        <v>204</v>
      </c>
      <c r="H105" s="127" t="s">
        <v>201</v>
      </c>
      <c r="I105" s="127" t="s">
        <v>202</v>
      </c>
      <c r="J105" s="121"/>
      <c r="K105" s="158">
        <f t="shared" si="13"/>
        <v>100</v>
      </c>
      <c r="L105" s="158">
        <f t="shared" si="13"/>
        <v>0</v>
      </c>
      <c r="M105" s="122">
        <f t="shared" si="13"/>
        <v>0</v>
      </c>
      <c r="N105" s="124"/>
      <c r="O105" s="125"/>
    </row>
    <row r="106" spans="2:15" s="123" customFormat="1" ht="31.5">
      <c r="B106" s="120" t="s">
        <v>73</v>
      </c>
      <c r="C106" s="121" t="s">
        <v>59</v>
      </c>
      <c r="D106" s="121" t="s">
        <v>71</v>
      </c>
      <c r="E106" s="121" t="s">
        <v>13</v>
      </c>
      <c r="F106" s="127" t="s">
        <v>211</v>
      </c>
      <c r="G106" s="127" t="s">
        <v>204</v>
      </c>
      <c r="H106" s="127" t="s">
        <v>201</v>
      </c>
      <c r="I106" s="127" t="s">
        <v>244</v>
      </c>
      <c r="J106" s="121"/>
      <c r="K106" s="158">
        <f t="shared" si="13"/>
        <v>100</v>
      </c>
      <c r="L106" s="158">
        <f t="shared" si="13"/>
        <v>0</v>
      </c>
      <c r="M106" s="122">
        <f t="shared" si="13"/>
        <v>0</v>
      </c>
      <c r="N106" s="124"/>
      <c r="O106" s="125"/>
    </row>
    <row r="107" spans="2:15" s="123" customFormat="1" ht="47.25">
      <c r="B107" s="120" t="s">
        <v>206</v>
      </c>
      <c r="C107" s="121" t="s">
        <v>59</v>
      </c>
      <c r="D107" s="121" t="s">
        <v>71</v>
      </c>
      <c r="E107" s="121" t="s">
        <v>13</v>
      </c>
      <c r="F107" s="127" t="s">
        <v>211</v>
      </c>
      <c r="G107" s="127" t="s">
        <v>204</v>
      </c>
      <c r="H107" s="127" t="s">
        <v>201</v>
      </c>
      <c r="I107" s="127" t="s">
        <v>244</v>
      </c>
      <c r="J107" s="121" t="s">
        <v>22</v>
      </c>
      <c r="K107" s="158">
        <f t="shared" si="13"/>
        <v>100</v>
      </c>
      <c r="L107" s="158">
        <f t="shared" si="13"/>
        <v>0</v>
      </c>
      <c r="M107" s="122">
        <f t="shared" si="13"/>
        <v>0</v>
      </c>
      <c r="N107" s="124"/>
      <c r="O107" s="125"/>
    </row>
    <row r="108" spans="2:15" s="123" customFormat="1" ht="47.25">
      <c r="B108" s="120" t="s">
        <v>23</v>
      </c>
      <c r="C108" s="121" t="s">
        <v>59</v>
      </c>
      <c r="D108" s="121" t="s">
        <v>71</v>
      </c>
      <c r="E108" s="121" t="s">
        <v>13</v>
      </c>
      <c r="F108" s="127" t="s">
        <v>211</v>
      </c>
      <c r="G108" s="127" t="s">
        <v>204</v>
      </c>
      <c r="H108" s="127" t="s">
        <v>201</v>
      </c>
      <c r="I108" s="127" t="s">
        <v>244</v>
      </c>
      <c r="J108" s="121" t="s">
        <v>24</v>
      </c>
      <c r="K108" s="158">
        <f>100</f>
        <v>100</v>
      </c>
      <c r="L108" s="158">
        <v>0</v>
      </c>
      <c r="M108" s="122">
        <v>0</v>
      </c>
      <c r="N108" s="124"/>
      <c r="O108" s="125"/>
    </row>
    <row r="109" spans="2:15" s="117" customFormat="1" ht="22.5" customHeight="1">
      <c r="B109" s="114" t="s">
        <v>74</v>
      </c>
      <c r="C109" s="115" t="s">
        <v>59</v>
      </c>
      <c r="D109" s="115" t="s">
        <v>75</v>
      </c>
      <c r="E109" s="115"/>
      <c r="F109" s="115"/>
      <c r="G109" s="115"/>
      <c r="H109" s="115"/>
      <c r="I109" s="115"/>
      <c r="J109" s="115"/>
      <c r="K109" s="157">
        <f t="shared" ref="K109:M116" si="14">K110</f>
        <v>14452.2</v>
      </c>
      <c r="L109" s="157">
        <f t="shared" si="14"/>
        <v>12830.4</v>
      </c>
      <c r="M109" s="116">
        <f t="shared" si="14"/>
        <v>12830.4</v>
      </c>
      <c r="N109" s="118"/>
      <c r="O109" s="119"/>
    </row>
    <row r="110" spans="2:15" s="117" customFormat="1" ht="18" customHeight="1">
      <c r="B110" s="114" t="s">
        <v>76</v>
      </c>
      <c r="C110" s="115" t="s">
        <v>59</v>
      </c>
      <c r="D110" s="115" t="s">
        <v>75</v>
      </c>
      <c r="E110" s="115" t="s">
        <v>39</v>
      </c>
      <c r="F110" s="115"/>
      <c r="G110" s="115"/>
      <c r="H110" s="115"/>
      <c r="I110" s="115"/>
      <c r="J110" s="115"/>
      <c r="K110" s="157">
        <f t="shared" si="14"/>
        <v>14452.2</v>
      </c>
      <c r="L110" s="157">
        <f t="shared" si="14"/>
        <v>12830.4</v>
      </c>
      <c r="M110" s="116">
        <f t="shared" si="14"/>
        <v>12830.4</v>
      </c>
      <c r="N110" s="118"/>
      <c r="O110" s="119"/>
    </row>
    <row r="111" spans="2:15" s="123" customFormat="1" ht="47.25">
      <c r="B111" s="126" t="s">
        <v>245</v>
      </c>
      <c r="C111" s="121" t="s">
        <v>59</v>
      </c>
      <c r="D111" s="121" t="s">
        <v>75</v>
      </c>
      <c r="E111" s="121" t="s">
        <v>39</v>
      </c>
      <c r="F111" s="127" t="s">
        <v>246</v>
      </c>
      <c r="G111" s="127" t="s">
        <v>200</v>
      </c>
      <c r="H111" s="127" t="s">
        <v>201</v>
      </c>
      <c r="I111" s="127" t="s">
        <v>202</v>
      </c>
      <c r="J111" s="121"/>
      <c r="K111" s="158">
        <f t="shared" si="14"/>
        <v>14452.2</v>
      </c>
      <c r="L111" s="158">
        <f t="shared" si="14"/>
        <v>12830.4</v>
      </c>
      <c r="M111" s="122">
        <f t="shared" si="14"/>
        <v>12830.4</v>
      </c>
      <c r="N111" s="124"/>
      <c r="O111" s="125"/>
    </row>
    <row r="112" spans="2:15" s="123" customFormat="1">
      <c r="B112" s="126" t="s">
        <v>76</v>
      </c>
      <c r="C112" s="121" t="s">
        <v>59</v>
      </c>
      <c r="D112" s="121" t="s">
        <v>75</v>
      </c>
      <c r="E112" s="121" t="s">
        <v>39</v>
      </c>
      <c r="F112" s="127" t="s">
        <v>246</v>
      </c>
      <c r="G112" s="127" t="s">
        <v>204</v>
      </c>
      <c r="H112" s="127" t="s">
        <v>201</v>
      </c>
      <c r="I112" s="127" t="s">
        <v>202</v>
      </c>
      <c r="J112" s="121"/>
      <c r="K112" s="158">
        <f t="shared" si="14"/>
        <v>14452.2</v>
      </c>
      <c r="L112" s="158">
        <f t="shared" si="14"/>
        <v>12830.4</v>
      </c>
      <c r="M112" s="122">
        <f t="shared" si="14"/>
        <v>12830.4</v>
      </c>
      <c r="N112" s="124"/>
      <c r="O112" s="125"/>
    </row>
    <row r="113" spans="2:15" s="123" customFormat="1" ht="78.75">
      <c r="B113" s="120" t="s">
        <v>247</v>
      </c>
      <c r="C113" s="121" t="s">
        <v>59</v>
      </c>
      <c r="D113" s="121" t="s">
        <v>75</v>
      </c>
      <c r="E113" s="121" t="s">
        <v>39</v>
      </c>
      <c r="F113" s="127" t="s">
        <v>246</v>
      </c>
      <c r="G113" s="127" t="s">
        <v>204</v>
      </c>
      <c r="H113" s="127" t="s">
        <v>201</v>
      </c>
      <c r="I113" s="127" t="s">
        <v>248</v>
      </c>
      <c r="J113" s="121"/>
      <c r="K113" s="158">
        <f>K114+K116</f>
        <v>14452.2</v>
      </c>
      <c r="L113" s="158">
        <f>L114+L116</f>
        <v>12830.4</v>
      </c>
      <c r="M113" s="122">
        <f>M114+M116</f>
        <v>12830.4</v>
      </c>
      <c r="N113" s="124"/>
      <c r="O113" s="125"/>
    </row>
    <row r="114" spans="2:15" s="123" customFormat="1" ht="47.25">
      <c r="B114" s="120" t="s">
        <v>206</v>
      </c>
      <c r="C114" s="121" t="s">
        <v>59</v>
      </c>
      <c r="D114" s="121" t="s">
        <v>75</v>
      </c>
      <c r="E114" s="121" t="s">
        <v>39</v>
      </c>
      <c r="F114" s="127" t="s">
        <v>246</v>
      </c>
      <c r="G114" s="127" t="s">
        <v>204</v>
      </c>
      <c r="H114" s="127" t="s">
        <v>201</v>
      </c>
      <c r="I114" s="127" t="s">
        <v>248</v>
      </c>
      <c r="J114" s="121" t="s">
        <v>22</v>
      </c>
      <c r="K114" s="158">
        <f>K115</f>
        <v>447</v>
      </c>
      <c r="L114" s="158">
        <f>L115</f>
        <v>300</v>
      </c>
      <c r="M114" s="122">
        <f>M115</f>
        <v>300</v>
      </c>
      <c r="N114" s="124"/>
      <c r="O114" s="125"/>
    </row>
    <row r="115" spans="2:15" s="123" customFormat="1" ht="47.25">
      <c r="B115" s="120" t="s">
        <v>23</v>
      </c>
      <c r="C115" s="121" t="s">
        <v>59</v>
      </c>
      <c r="D115" s="121" t="s">
        <v>75</v>
      </c>
      <c r="E115" s="121" t="s">
        <v>39</v>
      </c>
      <c r="F115" s="127" t="s">
        <v>246</v>
      </c>
      <c r="G115" s="127" t="s">
        <v>204</v>
      </c>
      <c r="H115" s="127" t="s">
        <v>201</v>
      </c>
      <c r="I115" s="127" t="s">
        <v>248</v>
      </c>
      <c r="J115" s="121" t="s">
        <v>24</v>
      </c>
      <c r="K115" s="158">
        <f>447</f>
        <v>447</v>
      </c>
      <c r="L115" s="158">
        <f>300</f>
        <v>300</v>
      </c>
      <c r="M115" s="122">
        <f>300</f>
        <v>300</v>
      </c>
      <c r="N115" s="124"/>
      <c r="O115" s="125"/>
    </row>
    <row r="116" spans="2:15" s="123" customFormat="1" ht="31.5">
      <c r="B116" s="120" t="s">
        <v>77</v>
      </c>
      <c r="C116" s="121" t="s">
        <v>59</v>
      </c>
      <c r="D116" s="121" t="s">
        <v>75</v>
      </c>
      <c r="E116" s="121" t="s">
        <v>39</v>
      </c>
      <c r="F116" s="127" t="s">
        <v>246</v>
      </c>
      <c r="G116" s="127" t="s">
        <v>204</v>
      </c>
      <c r="H116" s="127" t="s">
        <v>201</v>
      </c>
      <c r="I116" s="127" t="s">
        <v>248</v>
      </c>
      <c r="J116" s="121" t="s">
        <v>78</v>
      </c>
      <c r="K116" s="158">
        <f t="shared" si="14"/>
        <v>14005.2</v>
      </c>
      <c r="L116" s="158">
        <f t="shared" si="14"/>
        <v>12530.4</v>
      </c>
      <c r="M116" s="122">
        <f t="shared" si="14"/>
        <v>12530.4</v>
      </c>
      <c r="N116" s="124"/>
      <c r="O116" s="125"/>
    </row>
    <row r="117" spans="2:15" s="123" customFormat="1" ht="31.5">
      <c r="B117" s="128" t="s">
        <v>79</v>
      </c>
      <c r="C117" s="121" t="s">
        <v>59</v>
      </c>
      <c r="D117" s="121" t="s">
        <v>75</v>
      </c>
      <c r="E117" s="121" t="s">
        <v>39</v>
      </c>
      <c r="F117" s="127" t="s">
        <v>246</v>
      </c>
      <c r="G117" s="127" t="s">
        <v>204</v>
      </c>
      <c r="H117" s="127" t="s">
        <v>201</v>
      </c>
      <c r="I117" s="127" t="s">
        <v>248</v>
      </c>
      <c r="J117" s="121" t="s">
        <v>80</v>
      </c>
      <c r="K117" s="158">
        <f>14005.2</f>
        <v>14005.2</v>
      </c>
      <c r="L117" s="158">
        <f>12530.4</f>
        <v>12530.4</v>
      </c>
      <c r="M117" s="122">
        <f>12530.4</f>
        <v>12530.4</v>
      </c>
      <c r="N117" s="124"/>
      <c r="O117" s="125"/>
    </row>
    <row r="118" spans="2:15" s="117" customFormat="1" ht="31.5">
      <c r="B118" s="132" t="s">
        <v>249</v>
      </c>
      <c r="C118" s="115" t="s">
        <v>82</v>
      </c>
      <c r="D118" s="115"/>
      <c r="E118" s="115"/>
      <c r="F118" s="133"/>
      <c r="G118" s="133"/>
      <c r="H118" s="133"/>
      <c r="I118" s="133"/>
      <c r="J118" s="115"/>
      <c r="K118" s="157">
        <f t="shared" ref="K118:M119" si="15">K119</f>
        <v>657</v>
      </c>
      <c r="L118" s="157">
        <f t="shared" si="15"/>
        <v>673.42499999999995</v>
      </c>
      <c r="M118" s="116">
        <f t="shared" si="15"/>
        <v>689.85</v>
      </c>
      <c r="N118" s="118"/>
      <c r="O118" s="119"/>
    </row>
    <row r="119" spans="2:15" s="117" customFormat="1">
      <c r="B119" s="114" t="s">
        <v>12</v>
      </c>
      <c r="C119" s="115" t="s">
        <v>82</v>
      </c>
      <c r="D119" s="115" t="s">
        <v>13</v>
      </c>
      <c r="E119" s="115"/>
      <c r="F119" s="115"/>
      <c r="G119" s="115"/>
      <c r="H119" s="115"/>
      <c r="I119" s="115"/>
      <c r="J119" s="115"/>
      <c r="K119" s="157">
        <f t="shared" si="15"/>
        <v>657</v>
      </c>
      <c r="L119" s="157">
        <f t="shared" si="15"/>
        <v>673.42499999999995</v>
      </c>
      <c r="M119" s="116">
        <f t="shared" si="15"/>
        <v>689.85</v>
      </c>
      <c r="N119" s="118"/>
      <c r="O119" s="119"/>
    </row>
    <row r="120" spans="2:15" s="117" customFormat="1" ht="78.75">
      <c r="B120" s="114" t="s">
        <v>83</v>
      </c>
      <c r="C120" s="115" t="s">
        <v>82</v>
      </c>
      <c r="D120" s="115" t="s">
        <v>13</v>
      </c>
      <c r="E120" s="115" t="s">
        <v>39</v>
      </c>
      <c r="F120" s="115"/>
      <c r="G120" s="115"/>
      <c r="H120" s="115"/>
      <c r="I120" s="115"/>
      <c r="J120" s="115"/>
      <c r="K120" s="157">
        <f>K122</f>
        <v>657</v>
      </c>
      <c r="L120" s="157">
        <f>L122</f>
        <v>673.42499999999995</v>
      </c>
      <c r="M120" s="116">
        <f>M122</f>
        <v>689.85</v>
      </c>
      <c r="N120" s="118"/>
      <c r="O120" s="119"/>
    </row>
    <row r="121" spans="2:15" s="123" customFormat="1" ht="31.5">
      <c r="B121" s="126" t="s">
        <v>198</v>
      </c>
      <c r="C121" s="121" t="s">
        <v>82</v>
      </c>
      <c r="D121" s="121" t="s">
        <v>13</v>
      </c>
      <c r="E121" s="121" t="s">
        <v>39</v>
      </c>
      <c r="F121" s="127" t="s">
        <v>199</v>
      </c>
      <c r="G121" s="127" t="s">
        <v>200</v>
      </c>
      <c r="H121" s="127" t="s">
        <v>201</v>
      </c>
      <c r="I121" s="127" t="s">
        <v>202</v>
      </c>
      <c r="J121" s="121"/>
      <c r="K121" s="158">
        <f t="shared" ref="K121:M124" si="16">K122</f>
        <v>657</v>
      </c>
      <c r="L121" s="158">
        <f t="shared" si="16"/>
        <v>673.42499999999995</v>
      </c>
      <c r="M121" s="122">
        <f t="shared" si="16"/>
        <v>689.85</v>
      </c>
      <c r="N121" s="124"/>
      <c r="O121" s="125"/>
    </row>
    <row r="122" spans="2:15" s="123" customFormat="1" ht="31.5">
      <c r="B122" s="126" t="s">
        <v>250</v>
      </c>
      <c r="C122" s="121" t="s">
        <v>82</v>
      </c>
      <c r="D122" s="121" t="s">
        <v>13</v>
      </c>
      <c r="E122" s="121" t="s">
        <v>39</v>
      </c>
      <c r="F122" s="127" t="s">
        <v>199</v>
      </c>
      <c r="G122" s="129">
        <v>1</v>
      </c>
      <c r="H122" s="127" t="s">
        <v>201</v>
      </c>
      <c r="I122" s="127" t="s">
        <v>202</v>
      </c>
      <c r="J122" s="121"/>
      <c r="K122" s="158">
        <f t="shared" si="16"/>
        <v>657</v>
      </c>
      <c r="L122" s="158">
        <f t="shared" si="16"/>
        <v>673.42499999999995</v>
      </c>
      <c r="M122" s="122">
        <f t="shared" si="16"/>
        <v>689.85</v>
      </c>
      <c r="N122" s="124"/>
      <c r="O122" s="125"/>
    </row>
    <row r="123" spans="2:15" s="123" customFormat="1" ht="47.25">
      <c r="B123" s="126" t="s">
        <v>251</v>
      </c>
      <c r="C123" s="121" t="s">
        <v>82</v>
      </c>
      <c r="D123" s="121" t="s">
        <v>13</v>
      </c>
      <c r="E123" s="121" t="s">
        <v>39</v>
      </c>
      <c r="F123" s="127" t="s">
        <v>199</v>
      </c>
      <c r="G123" s="127" t="s">
        <v>223</v>
      </c>
      <c r="H123" s="127" t="s">
        <v>201</v>
      </c>
      <c r="I123" s="127" t="s">
        <v>252</v>
      </c>
      <c r="J123" s="121"/>
      <c r="K123" s="158">
        <f t="shared" si="16"/>
        <v>657</v>
      </c>
      <c r="L123" s="158">
        <f t="shared" si="16"/>
        <v>673.42499999999995</v>
      </c>
      <c r="M123" s="122">
        <f t="shared" si="16"/>
        <v>689.85</v>
      </c>
      <c r="N123" s="124"/>
      <c r="O123" s="125"/>
    </row>
    <row r="124" spans="2:15" s="123" customFormat="1" ht="94.5">
      <c r="B124" s="120" t="s">
        <v>17</v>
      </c>
      <c r="C124" s="121" t="s">
        <v>82</v>
      </c>
      <c r="D124" s="121" t="s">
        <v>13</v>
      </c>
      <c r="E124" s="121" t="s">
        <v>39</v>
      </c>
      <c r="F124" s="127" t="s">
        <v>199</v>
      </c>
      <c r="G124" s="127" t="s">
        <v>223</v>
      </c>
      <c r="H124" s="127" t="s">
        <v>201</v>
      </c>
      <c r="I124" s="127" t="s">
        <v>252</v>
      </c>
      <c r="J124" s="121" t="s">
        <v>18</v>
      </c>
      <c r="K124" s="158">
        <f t="shared" si="16"/>
        <v>657</v>
      </c>
      <c r="L124" s="158">
        <f t="shared" si="16"/>
        <v>673.42499999999995</v>
      </c>
      <c r="M124" s="122">
        <f t="shared" si="16"/>
        <v>689.85</v>
      </c>
      <c r="N124" s="124"/>
      <c r="O124" s="125"/>
    </row>
    <row r="125" spans="2:15" s="123" customFormat="1" ht="31.5">
      <c r="B125" s="120" t="s">
        <v>19</v>
      </c>
      <c r="C125" s="121" t="s">
        <v>82</v>
      </c>
      <c r="D125" s="121" t="s">
        <v>13</v>
      </c>
      <c r="E125" s="121" t="s">
        <v>39</v>
      </c>
      <c r="F125" s="127" t="s">
        <v>199</v>
      </c>
      <c r="G125" s="127" t="s">
        <v>223</v>
      </c>
      <c r="H125" s="127" t="s">
        <v>201</v>
      </c>
      <c r="I125" s="127" t="s">
        <v>252</v>
      </c>
      <c r="J125" s="121" t="s">
        <v>20</v>
      </c>
      <c r="K125" s="158">
        <f>(728-71)</f>
        <v>657</v>
      </c>
      <c r="L125" s="158">
        <f>(728-71)*102.5%</f>
        <v>673.42499999999995</v>
      </c>
      <c r="M125" s="122">
        <f>(728-71)*105%</f>
        <v>689.85</v>
      </c>
      <c r="N125" s="124"/>
      <c r="O125" s="125"/>
    </row>
    <row r="126" spans="2:15" s="117" customFormat="1" ht="31.5">
      <c r="B126" s="114" t="s">
        <v>81</v>
      </c>
      <c r="C126" s="115" t="s">
        <v>82</v>
      </c>
      <c r="D126" s="115"/>
      <c r="E126" s="115"/>
      <c r="F126" s="115"/>
      <c r="G126" s="115"/>
      <c r="H126" s="115"/>
      <c r="I126" s="115"/>
      <c r="J126" s="115"/>
      <c r="K126" s="157">
        <f>K127+K173+K185+K201+K224</f>
        <v>67247.100000000006</v>
      </c>
      <c r="L126" s="157">
        <f>L127+L173+L185+L201+L224</f>
        <v>44347.514999999999</v>
      </c>
      <c r="M126" s="116">
        <f>M127+M173+M185+M201+M224</f>
        <v>49133.33</v>
      </c>
      <c r="N126" s="118"/>
      <c r="O126" s="119"/>
    </row>
    <row r="127" spans="2:15" s="117" customFormat="1">
      <c r="B127" s="114" t="s">
        <v>12</v>
      </c>
      <c r="C127" s="115" t="s">
        <v>82</v>
      </c>
      <c r="D127" s="115" t="s">
        <v>13</v>
      </c>
      <c r="E127" s="115"/>
      <c r="F127" s="115"/>
      <c r="G127" s="115"/>
      <c r="H127" s="115"/>
      <c r="I127" s="115"/>
      <c r="J127" s="115"/>
      <c r="K127" s="157">
        <f>K128+K167</f>
        <v>18650.7</v>
      </c>
      <c r="L127" s="157">
        <f>L128+L167</f>
        <v>19153.849999999999</v>
      </c>
      <c r="M127" s="116">
        <f>M128+M167</f>
        <v>19568</v>
      </c>
      <c r="N127" s="118"/>
      <c r="O127" s="119"/>
    </row>
    <row r="128" spans="2:15" s="117" customFormat="1" ht="78.75">
      <c r="B128" s="114" t="s">
        <v>84</v>
      </c>
      <c r="C128" s="115" t="s">
        <v>82</v>
      </c>
      <c r="D128" s="115" t="s">
        <v>13</v>
      </c>
      <c r="E128" s="115" t="s">
        <v>62</v>
      </c>
      <c r="F128" s="115"/>
      <c r="G128" s="115"/>
      <c r="H128" s="115"/>
      <c r="I128" s="115"/>
      <c r="J128" s="115"/>
      <c r="K128" s="157">
        <f t="shared" ref="K128:M129" si="17">K129</f>
        <v>18620.7</v>
      </c>
      <c r="L128" s="157">
        <f t="shared" si="17"/>
        <v>19123.099999999999</v>
      </c>
      <c r="M128" s="116">
        <f t="shared" si="17"/>
        <v>19536.5</v>
      </c>
      <c r="N128" s="118"/>
      <c r="O128" s="119"/>
    </row>
    <row r="129" spans="2:15" s="123" customFormat="1" ht="31.5">
      <c r="B129" s="126" t="s">
        <v>198</v>
      </c>
      <c r="C129" s="121" t="s">
        <v>82</v>
      </c>
      <c r="D129" s="121" t="s">
        <v>13</v>
      </c>
      <c r="E129" s="121" t="s">
        <v>62</v>
      </c>
      <c r="F129" s="127" t="s">
        <v>199</v>
      </c>
      <c r="G129" s="127" t="s">
        <v>200</v>
      </c>
      <c r="H129" s="127" t="s">
        <v>201</v>
      </c>
      <c r="I129" s="127" t="s">
        <v>202</v>
      </c>
      <c r="J129" s="121"/>
      <c r="K129" s="158">
        <f t="shared" si="17"/>
        <v>18620.7</v>
      </c>
      <c r="L129" s="158">
        <f t="shared" si="17"/>
        <v>19123.099999999999</v>
      </c>
      <c r="M129" s="122">
        <f t="shared" si="17"/>
        <v>19536.5</v>
      </c>
      <c r="N129" s="124"/>
      <c r="O129" s="125"/>
    </row>
    <row r="130" spans="2:15" s="123" customFormat="1" ht="47.25">
      <c r="B130" s="126" t="s">
        <v>230</v>
      </c>
      <c r="C130" s="121" t="s">
        <v>82</v>
      </c>
      <c r="D130" s="121" t="s">
        <v>13</v>
      </c>
      <c r="E130" s="121" t="s">
        <v>62</v>
      </c>
      <c r="F130" s="127" t="s">
        <v>199</v>
      </c>
      <c r="G130" s="127" t="s">
        <v>6</v>
      </c>
      <c r="H130" s="127" t="s">
        <v>201</v>
      </c>
      <c r="I130" s="127" t="s">
        <v>202</v>
      </c>
      <c r="J130" s="121"/>
      <c r="K130" s="158">
        <f>K131+K134+K139+K142+K147+K152+K157+K162</f>
        <v>18620.7</v>
      </c>
      <c r="L130" s="158">
        <f>L131+L134+L139+L142+L147+L152+L157+L162</f>
        <v>19123.099999999999</v>
      </c>
      <c r="M130" s="122">
        <f>M131+M134+M139+M142+M147+M152+M157+M162</f>
        <v>19536.5</v>
      </c>
      <c r="N130" s="124"/>
      <c r="O130" s="125"/>
    </row>
    <row r="131" spans="2:15" s="123" customFormat="1" ht="63">
      <c r="B131" s="126" t="s">
        <v>253</v>
      </c>
      <c r="C131" s="121" t="s">
        <v>82</v>
      </c>
      <c r="D131" s="121" t="s">
        <v>13</v>
      </c>
      <c r="E131" s="121" t="s">
        <v>62</v>
      </c>
      <c r="F131" s="127" t="s">
        <v>199</v>
      </c>
      <c r="G131" s="127" t="s">
        <v>6</v>
      </c>
      <c r="H131" s="127" t="s">
        <v>201</v>
      </c>
      <c r="I131" s="127" t="s">
        <v>254</v>
      </c>
      <c r="J131" s="121"/>
      <c r="K131" s="158">
        <f t="shared" ref="K131:M132" si="18">K132</f>
        <v>1043.3999999999999</v>
      </c>
      <c r="L131" s="158">
        <f t="shared" si="18"/>
        <v>1069.4849999999997</v>
      </c>
      <c r="M131" s="122">
        <f t="shared" si="18"/>
        <v>1095.57</v>
      </c>
      <c r="N131" s="124"/>
      <c r="O131" s="125"/>
    </row>
    <row r="132" spans="2:15" s="123" customFormat="1" ht="94.5">
      <c r="B132" s="120" t="s">
        <v>17</v>
      </c>
      <c r="C132" s="121" t="s">
        <v>82</v>
      </c>
      <c r="D132" s="121" t="s">
        <v>13</v>
      </c>
      <c r="E132" s="121" t="s">
        <v>62</v>
      </c>
      <c r="F132" s="127" t="s">
        <v>199</v>
      </c>
      <c r="G132" s="127" t="s">
        <v>6</v>
      </c>
      <c r="H132" s="127" t="s">
        <v>201</v>
      </c>
      <c r="I132" s="127" t="s">
        <v>254</v>
      </c>
      <c r="J132" s="121" t="s">
        <v>18</v>
      </c>
      <c r="K132" s="158">
        <f t="shared" si="18"/>
        <v>1043.3999999999999</v>
      </c>
      <c r="L132" s="158">
        <f t="shared" si="18"/>
        <v>1069.4849999999997</v>
      </c>
      <c r="M132" s="122">
        <f t="shared" si="18"/>
        <v>1095.57</v>
      </c>
      <c r="N132" s="124"/>
      <c r="O132" s="125"/>
    </row>
    <row r="133" spans="2:15" s="123" customFormat="1" ht="31.5">
      <c r="B133" s="120" t="s">
        <v>19</v>
      </c>
      <c r="C133" s="121" t="s">
        <v>82</v>
      </c>
      <c r="D133" s="121" t="s">
        <v>13</v>
      </c>
      <c r="E133" s="121" t="s">
        <v>62</v>
      </c>
      <c r="F133" s="127" t="s">
        <v>199</v>
      </c>
      <c r="G133" s="127" t="s">
        <v>6</v>
      </c>
      <c r="H133" s="127" t="s">
        <v>201</v>
      </c>
      <c r="I133" s="127" t="s">
        <v>254</v>
      </c>
      <c r="J133" s="121" t="s">
        <v>20</v>
      </c>
      <c r="K133" s="158">
        <f>(1157.3-113.9)</f>
        <v>1043.3999999999999</v>
      </c>
      <c r="L133" s="158">
        <f>(1157.3-113.9)*102.5%</f>
        <v>1069.4849999999997</v>
      </c>
      <c r="M133" s="122">
        <f>(1157.3-113.9)*105%</f>
        <v>1095.57</v>
      </c>
      <c r="N133" s="124"/>
      <c r="O133" s="125"/>
    </row>
    <row r="134" spans="2:15" s="123" customFormat="1" ht="31.5">
      <c r="B134" s="126" t="s">
        <v>16</v>
      </c>
      <c r="C134" s="121" t="s">
        <v>82</v>
      </c>
      <c r="D134" s="121" t="s">
        <v>13</v>
      </c>
      <c r="E134" s="121" t="s">
        <v>62</v>
      </c>
      <c r="F134" s="127" t="s">
        <v>199</v>
      </c>
      <c r="G134" s="127" t="s">
        <v>6</v>
      </c>
      <c r="H134" s="127" t="s">
        <v>201</v>
      </c>
      <c r="I134" s="127" t="s">
        <v>205</v>
      </c>
      <c r="J134" s="121"/>
      <c r="K134" s="158">
        <f>K135+K137</f>
        <v>15491.6</v>
      </c>
      <c r="L134" s="158">
        <f>L135+L137</f>
        <v>15878.889999999998</v>
      </c>
      <c r="M134" s="122">
        <f>M135+M137</f>
        <v>16266.18</v>
      </c>
      <c r="N134" s="124"/>
      <c r="O134" s="125"/>
    </row>
    <row r="135" spans="2:15" s="123" customFormat="1" ht="94.5">
      <c r="B135" s="120" t="s">
        <v>17</v>
      </c>
      <c r="C135" s="121" t="s">
        <v>82</v>
      </c>
      <c r="D135" s="121" t="s">
        <v>13</v>
      </c>
      <c r="E135" s="121" t="s">
        <v>62</v>
      </c>
      <c r="F135" s="127" t="s">
        <v>199</v>
      </c>
      <c r="G135" s="127" t="s">
        <v>6</v>
      </c>
      <c r="H135" s="127" t="s">
        <v>201</v>
      </c>
      <c r="I135" s="127" t="s">
        <v>205</v>
      </c>
      <c r="J135" s="121" t="s">
        <v>18</v>
      </c>
      <c r="K135" s="158">
        <f>K136</f>
        <v>14540.4</v>
      </c>
      <c r="L135" s="158">
        <f>L136</f>
        <v>14903.909999999998</v>
      </c>
      <c r="M135" s="122">
        <f>M136</f>
        <v>15267.42</v>
      </c>
      <c r="N135" s="124"/>
      <c r="O135" s="125"/>
    </row>
    <row r="136" spans="2:15" s="123" customFormat="1" ht="31.5">
      <c r="B136" s="120" t="s">
        <v>19</v>
      </c>
      <c r="C136" s="121" t="s">
        <v>82</v>
      </c>
      <c r="D136" s="121" t="s">
        <v>13</v>
      </c>
      <c r="E136" s="121" t="s">
        <v>62</v>
      </c>
      <c r="F136" s="127" t="s">
        <v>199</v>
      </c>
      <c r="G136" s="127" t="s">
        <v>6</v>
      </c>
      <c r="H136" s="127" t="s">
        <v>201</v>
      </c>
      <c r="I136" s="127" t="s">
        <v>205</v>
      </c>
      <c r="J136" s="121" t="s">
        <v>20</v>
      </c>
      <c r="K136" s="158">
        <f>((16108.4+2)-1570)</f>
        <v>14540.4</v>
      </c>
      <c r="L136" s="158">
        <f>14540.4*102.5%</f>
        <v>14903.909999999998</v>
      </c>
      <c r="M136" s="122">
        <f>14540.4*105%</f>
        <v>15267.42</v>
      </c>
      <c r="N136" s="124"/>
      <c r="O136" s="125"/>
    </row>
    <row r="137" spans="2:15" s="123" customFormat="1" ht="31.5">
      <c r="B137" s="120" t="s">
        <v>21</v>
      </c>
      <c r="C137" s="121" t="s">
        <v>82</v>
      </c>
      <c r="D137" s="121" t="s">
        <v>13</v>
      </c>
      <c r="E137" s="121" t="s">
        <v>62</v>
      </c>
      <c r="F137" s="127" t="s">
        <v>199</v>
      </c>
      <c r="G137" s="127" t="s">
        <v>6</v>
      </c>
      <c r="H137" s="127" t="s">
        <v>201</v>
      </c>
      <c r="I137" s="127" t="s">
        <v>205</v>
      </c>
      <c r="J137" s="121" t="s">
        <v>22</v>
      </c>
      <c r="K137" s="158">
        <f>K138</f>
        <v>951.2</v>
      </c>
      <c r="L137" s="158">
        <f>L138</f>
        <v>974.98</v>
      </c>
      <c r="M137" s="122">
        <f>M138</f>
        <v>998.7600000000001</v>
      </c>
      <c r="N137" s="124"/>
      <c r="O137" s="125"/>
    </row>
    <row r="138" spans="2:15" s="123" customFormat="1" ht="47.25">
      <c r="B138" s="120" t="s">
        <v>23</v>
      </c>
      <c r="C138" s="121" t="s">
        <v>82</v>
      </c>
      <c r="D138" s="121" t="s">
        <v>13</v>
      </c>
      <c r="E138" s="121" t="s">
        <v>62</v>
      </c>
      <c r="F138" s="127" t="s">
        <v>199</v>
      </c>
      <c r="G138" s="127" t="s">
        <v>6</v>
      </c>
      <c r="H138" s="127" t="s">
        <v>201</v>
      </c>
      <c r="I138" s="127" t="s">
        <v>205</v>
      </c>
      <c r="J138" s="121" t="s">
        <v>24</v>
      </c>
      <c r="K138" s="158">
        <f>981.2-30</f>
        <v>951.2</v>
      </c>
      <c r="L138" s="158">
        <f>(981.2-30)*102.5%</f>
        <v>974.98</v>
      </c>
      <c r="M138" s="122">
        <f>(981.2-30)*105%</f>
        <v>998.7600000000001</v>
      </c>
      <c r="N138" s="124"/>
      <c r="O138" s="125"/>
    </row>
    <row r="139" spans="2:15" s="123" customFormat="1" ht="47.25">
      <c r="B139" s="126" t="s">
        <v>207</v>
      </c>
      <c r="C139" s="121" t="s">
        <v>82</v>
      </c>
      <c r="D139" s="121" t="s">
        <v>13</v>
      </c>
      <c r="E139" s="121" t="s">
        <v>62</v>
      </c>
      <c r="F139" s="127" t="s">
        <v>199</v>
      </c>
      <c r="G139" s="127" t="s">
        <v>6</v>
      </c>
      <c r="H139" s="127" t="s">
        <v>201</v>
      </c>
      <c r="I139" s="127" t="s">
        <v>208</v>
      </c>
      <c r="J139" s="121"/>
      <c r="K139" s="158">
        <f t="shared" ref="K139:M140" si="19">K140</f>
        <v>1</v>
      </c>
      <c r="L139" s="158">
        <f t="shared" si="19"/>
        <v>1.0249999999999999</v>
      </c>
      <c r="M139" s="122">
        <f t="shared" si="19"/>
        <v>1.05</v>
      </c>
      <c r="N139" s="124"/>
      <c r="O139" s="125"/>
    </row>
    <row r="140" spans="2:15" s="123" customFormat="1">
      <c r="B140" s="120" t="s">
        <v>25</v>
      </c>
      <c r="C140" s="121" t="s">
        <v>82</v>
      </c>
      <c r="D140" s="121" t="s">
        <v>13</v>
      </c>
      <c r="E140" s="121" t="s">
        <v>62</v>
      </c>
      <c r="F140" s="127" t="s">
        <v>199</v>
      </c>
      <c r="G140" s="127" t="s">
        <v>6</v>
      </c>
      <c r="H140" s="127" t="s">
        <v>201</v>
      </c>
      <c r="I140" s="127" t="s">
        <v>208</v>
      </c>
      <c r="J140" s="121" t="s">
        <v>26</v>
      </c>
      <c r="K140" s="158">
        <f t="shared" si="19"/>
        <v>1</v>
      </c>
      <c r="L140" s="158">
        <f t="shared" si="19"/>
        <v>1.0249999999999999</v>
      </c>
      <c r="M140" s="122">
        <f t="shared" si="19"/>
        <v>1.05</v>
      </c>
      <c r="N140" s="124"/>
      <c r="O140" s="125"/>
    </row>
    <row r="141" spans="2:15" s="123" customFormat="1">
      <c r="B141" s="120" t="s">
        <v>27</v>
      </c>
      <c r="C141" s="121" t="s">
        <v>82</v>
      </c>
      <c r="D141" s="121" t="s">
        <v>13</v>
      </c>
      <c r="E141" s="121" t="s">
        <v>62</v>
      </c>
      <c r="F141" s="127" t="s">
        <v>199</v>
      </c>
      <c r="G141" s="127" t="s">
        <v>6</v>
      </c>
      <c r="H141" s="127" t="s">
        <v>201</v>
      </c>
      <c r="I141" s="127" t="s">
        <v>208</v>
      </c>
      <c r="J141" s="121" t="s">
        <v>28</v>
      </c>
      <c r="K141" s="158">
        <f>1</f>
        <v>1</v>
      </c>
      <c r="L141" s="158">
        <f>1*102.5%</f>
        <v>1.0249999999999999</v>
      </c>
      <c r="M141" s="122">
        <f>1*105%</f>
        <v>1.05</v>
      </c>
      <c r="N141" s="124"/>
      <c r="O141" s="125"/>
    </row>
    <row r="142" spans="2:15" s="123" customFormat="1" ht="63">
      <c r="B142" s="215" t="s">
        <v>255</v>
      </c>
      <c r="C142" s="121" t="s">
        <v>82</v>
      </c>
      <c r="D142" s="121" t="s">
        <v>13</v>
      </c>
      <c r="E142" s="121" t="s">
        <v>62</v>
      </c>
      <c r="F142" s="127" t="s">
        <v>199</v>
      </c>
      <c r="G142" s="127" t="s">
        <v>6</v>
      </c>
      <c r="H142" s="127" t="s">
        <v>201</v>
      </c>
      <c r="I142" s="127" t="s">
        <v>256</v>
      </c>
      <c r="J142" s="121"/>
      <c r="K142" s="158">
        <f>K143+K145</f>
        <v>214.4</v>
      </c>
      <c r="L142" s="158">
        <f>L143+L145</f>
        <v>224</v>
      </c>
      <c r="M142" s="122">
        <f>M143+M145</f>
        <v>224</v>
      </c>
      <c r="N142" s="124"/>
      <c r="O142" s="125"/>
    </row>
    <row r="143" spans="2:15" s="123" customFormat="1" ht="94.5">
      <c r="B143" s="120" t="s">
        <v>17</v>
      </c>
      <c r="C143" s="121" t="s">
        <v>82</v>
      </c>
      <c r="D143" s="121" t="s">
        <v>13</v>
      </c>
      <c r="E143" s="121" t="s">
        <v>62</v>
      </c>
      <c r="F143" s="127" t="s">
        <v>199</v>
      </c>
      <c r="G143" s="127" t="s">
        <v>6</v>
      </c>
      <c r="H143" s="127" t="s">
        <v>201</v>
      </c>
      <c r="I143" s="127" t="s">
        <v>256</v>
      </c>
      <c r="J143" s="121" t="s">
        <v>18</v>
      </c>
      <c r="K143" s="158">
        <f>K144</f>
        <v>184.4</v>
      </c>
      <c r="L143" s="158">
        <f>L144</f>
        <v>184.4</v>
      </c>
      <c r="M143" s="122">
        <f>M144</f>
        <v>184.4</v>
      </c>
      <c r="N143" s="124"/>
      <c r="O143" s="125"/>
    </row>
    <row r="144" spans="2:15" s="123" customFormat="1" ht="31.5">
      <c r="B144" s="120" t="s">
        <v>19</v>
      </c>
      <c r="C144" s="121" t="s">
        <v>82</v>
      </c>
      <c r="D144" s="121" t="s">
        <v>13</v>
      </c>
      <c r="E144" s="121" t="s">
        <v>62</v>
      </c>
      <c r="F144" s="127" t="s">
        <v>199</v>
      </c>
      <c r="G144" s="127" t="s">
        <v>6</v>
      </c>
      <c r="H144" s="127" t="s">
        <v>201</v>
      </c>
      <c r="I144" s="127" t="s">
        <v>256</v>
      </c>
      <c r="J144" s="121" t="s">
        <v>20</v>
      </c>
      <c r="K144" s="158">
        <f>184.4</f>
        <v>184.4</v>
      </c>
      <c r="L144" s="158">
        <f>184.4</f>
        <v>184.4</v>
      </c>
      <c r="M144" s="122">
        <f>184.4</f>
        <v>184.4</v>
      </c>
      <c r="N144" s="124"/>
      <c r="O144" s="125"/>
    </row>
    <row r="145" spans="2:15" s="123" customFormat="1" ht="31.5">
      <c r="B145" s="120" t="s">
        <v>21</v>
      </c>
      <c r="C145" s="121" t="s">
        <v>82</v>
      </c>
      <c r="D145" s="121" t="s">
        <v>13</v>
      </c>
      <c r="E145" s="121" t="s">
        <v>62</v>
      </c>
      <c r="F145" s="127" t="s">
        <v>199</v>
      </c>
      <c r="G145" s="127" t="s">
        <v>6</v>
      </c>
      <c r="H145" s="127" t="s">
        <v>201</v>
      </c>
      <c r="I145" s="127" t="s">
        <v>256</v>
      </c>
      <c r="J145" s="121" t="s">
        <v>22</v>
      </c>
      <c r="K145" s="158">
        <f>K146</f>
        <v>30</v>
      </c>
      <c r="L145" s="158">
        <f>L146</f>
        <v>39.6</v>
      </c>
      <c r="M145" s="122">
        <f>M146</f>
        <v>39.6</v>
      </c>
      <c r="N145" s="124"/>
      <c r="O145" s="125"/>
    </row>
    <row r="146" spans="2:15" s="123" customFormat="1" ht="47.25">
      <c r="B146" s="120" t="s">
        <v>23</v>
      </c>
      <c r="C146" s="121" t="s">
        <v>82</v>
      </c>
      <c r="D146" s="121" t="s">
        <v>13</v>
      </c>
      <c r="E146" s="121" t="s">
        <v>62</v>
      </c>
      <c r="F146" s="127" t="s">
        <v>199</v>
      </c>
      <c r="G146" s="127" t="s">
        <v>6</v>
      </c>
      <c r="H146" s="127" t="s">
        <v>201</v>
      </c>
      <c r="I146" s="127" t="s">
        <v>256</v>
      </c>
      <c r="J146" s="121" t="s">
        <v>24</v>
      </c>
      <c r="K146" s="158">
        <f>30</f>
        <v>30</v>
      </c>
      <c r="L146" s="158">
        <f>39.6</f>
        <v>39.6</v>
      </c>
      <c r="M146" s="122">
        <f>39.6</f>
        <v>39.6</v>
      </c>
      <c r="N146" s="124"/>
      <c r="O146" s="125"/>
    </row>
    <row r="147" spans="2:15" s="123" customFormat="1" ht="78.75">
      <c r="B147" s="162" t="s">
        <v>257</v>
      </c>
      <c r="C147" s="121" t="s">
        <v>82</v>
      </c>
      <c r="D147" s="121" t="s">
        <v>13</v>
      </c>
      <c r="E147" s="121" t="s">
        <v>62</v>
      </c>
      <c r="F147" s="127" t="s">
        <v>199</v>
      </c>
      <c r="G147" s="127" t="s">
        <v>6</v>
      </c>
      <c r="H147" s="127" t="s">
        <v>201</v>
      </c>
      <c r="I147" s="127" t="s">
        <v>258</v>
      </c>
      <c r="J147" s="121"/>
      <c r="K147" s="158">
        <f>K148+K150</f>
        <v>611.80000000000007</v>
      </c>
      <c r="L147" s="158">
        <f>L148+L150</f>
        <v>640.5</v>
      </c>
      <c r="M147" s="122">
        <f>M148+M150</f>
        <v>640.5</v>
      </c>
      <c r="N147" s="124"/>
      <c r="O147" s="125"/>
    </row>
    <row r="148" spans="2:15" s="123" customFormat="1" ht="94.5">
      <c r="B148" s="120" t="s">
        <v>17</v>
      </c>
      <c r="C148" s="121" t="s">
        <v>82</v>
      </c>
      <c r="D148" s="121" t="s">
        <v>13</v>
      </c>
      <c r="E148" s="121" t="s">
        <v>62</v>
      </c>
      <c r="F148" s="127" t="s">
        <v>199</v>
      </c>
      <c r="G148" s="127" t="s">
        <v>6</v>
      </c>
      <c r="H148" s="127" t="s">
        <v>201</v>
      </c>
      <c r="I148" s="127" t="s">
        <v>258</v>
      </c>
      <c r="J148" s="121" t="s">
        <v>18</v>
      </c>
      <c r="K148" s="158">
        <f>K149</f>
        <v>553.1</v>
      </c>
      <c r="L148" s="158">
        <f>L149</f>
        <v>553.1</v>
      </c>
      <c r="M148" s="122">
        <f>M149</f>
        <v>553.1</v>
      </c>
      <c r="N148" s="124"/>
      <c r="O148" s="125"/>
    </row>
    <row r="149" spans="2:15" s="123" customFormat="1" ht="31.5">
      <c r="B149" s="120" t="s">
        <v>19</v>
      </c>
      <c r="C149" s="121" t="s">
        <v>82</v>
      </c>
      <c r="D149" s="121" t="s">
        <v>13</v>
      </c>
      <c r="E149" s="121" t="s">
        <v>62</v>
      </c>
      <c r="F149" s="127" t="s">
        <v>199</v>
      </c>
      <c r="G149" s="127" t="s">
        <v>6</v>
      </c>
      <c r="H149" s="127" t="s">
        <v>201</v>
      </c>
      <c r="I149" s="127" t="s">
        <v>258</v>
      </c>
      <c r="J149" s="121" t="s">
        <v>20</v>
      </c>
      <c r="K149" s="158">
        <f>553.1</f>
        <v>553.1</v>
      </c>
      <c r="L149" s="158">
        <f>553.1</f>
        <v>553.1</v>
      </c>
      <c r="M149" s="122">
        <f>553.1</f>
        <v>553.1</v>
      </c>
      <c r="N149" s="124"/>
      <c r="O149" s="125"/>
    </row>
    <row r="150" spans="2:15" s="123" customFormat="1" ht="31.5">
      <c r="B150" s="120" t="s">
        <v>21</v>
      </c>
      <c r="C150" s="121" t="s">
        <v>82</v>
      </c>
      <c r="D150" s="121" t="s">
        <v>13</v>
      </c>
      <c r="E150" s="121" t="s">
        <v>62</v>
      </c>
      <c r="F150" s="127" t="s">
        <v>199</v>
      </c>
      <c r="G150" s="127" t="s">
        <v>6</v>
      </c>
      <c r="H150" s="127" t="s">
        <v>201</v>
      </c>
      <c r="I150" s="127" t="s">
        <v>258</v>
      </c>
      <c r="J150" s="121" t="s">
        <v>22</v>
      </c>
      <c r="K150" s="158">
        <f>K151</f>
        <v>58.7</v>
      </c>
      <c r="L150" s="158">
        <f>L151</f>
        <v>87.4</v>
      </c>
      <c r="M150" s="122">
        <f>M151</f>
        <v>87.4</v>
      </c>
      <c r="N150" s="124"/>
      <c r="O150" s="125"/>
    </row>
    <row r="151" spans="2:15" s="123" customFormat="1" ht="47.25">
      <c r="B151" s="120" t="s">
        <v>23</v>
      </c>
      <c r="C151" s="121" t="s">
        <v>82</v>
      </c>
      <c r="D151" s="121" t="s">
        <v>13</v>
      </c>
      <c r="E151" s="121" t="s">
        <v>62</v>
      </c>
      <c r="F151" s="127" t="s">
        <v>199</v>
      </c>
      <c r="G151" s="127" t="s">
        <v>6</v>
      </c>
      <c r="H151" s="127" t="s">
        <v>201</v>
      </c>
      <c r="I151" s="127" t="s">
        <v>258</v>
      </c>
      <c r="J151" s="121" t="s">
        <v>24</v>
      </c>
      <c r="K151" s="158">
        <f>58.7</f>
        <v>58.7</v>
      </c>
      <c r="L151" s="158">
        <f>87.4</f>
        <v>87.4</v>
      </c>
      <c r="M151" s="122">
        <f>87.4</f>
        <v>87.4</v>
      </c>
      <c r="N151" s="124"/>
      <c r="O151" s="125"/>
    </row>
    <row r="152" spans="2:15" s="123" customFormat="1" ht="110.25">
      <c r="B152" s="162" t="s">
        <v>259</v>
      </c>
      <c r="C152" s="121" t="s">
        <v>82</v>
      </c>
      <c r="D152" s="121" t="s">
        <v>13</v>
      </c>
      <c r="E152" s="121" t="s">
        <v>62</v>
      </c>
      <c r="F152" s="127" t="s">
        <v>199</v>
      </c>
      <c r="G152" s="127" t="s">
        <v>6</v>
      </c>
      <c r="H152" s="127" t="s">
        <v>201</v>
      </c>
      <c r="I152" s="127" t="s">
        <v>260</v>
      </c>
      <c r="J152" s="121"/>
      <c r="K152" s="158">
        <f>K153+K155</f>
        <v>214.6</v>
      </c>
      <c r="L152" s="158">
        <f>L153+L155</f>
        <v>224.2</v>
      </c>
      <c r="M152" s="122">
        <f>M153+M155</f>
        <v>224.2</v>
      </c>
      <c r="N152" s="124"/>
      <c r="O152" s="125"/>
    </row>
    <row r="153" spans="2:15" s="123" customFormat="1" ht="94.5">
      <c r="B153" s="120" t="s">
        <v>17</v>
      </c>
      <c r="C153" s="121" t="s">
        <v>82</v>
      </c>
      <c r="D153" s="121" t="s">
        <v>13</v>
      </c>
      <c r="E153" s="121" t="s">
        <v>62</v>
      </c>
      <c r="F153" s="127" t="s">
        <v>199</v>
      </c>
      <c r="G153" s="127" t="s">
        <v>6</v>
      </c>
      <c r="H153" s="127" t="s">
        <v>201</v>
      </c>
      <c r="I153" s="127" t="s">
        <v>260</v>
      </c>
      <c r="J153" s="121" t="s">
        <v>18</v>
      </c>
      <c r="K153" s="158">
        <f>K154</f>
        <v>184.6</v>
      </c>
      <c r="L153" s="158">
        <f>L154</f>
        <v>184.6</v>
      </c>
      <c r="M153" s="122">
        <f>M154</f>
        <v>184.6</v>
      </c>
      <c r="N153" s="124"/>
      <c r="O153" s="125"/>
    </row>
    <row r="154" spans="2:15" s="123" customFormat="1" ht="31.5">
      <c r="B154" s="120" t="s">
        <v>19</v>
      </c>
      <c r="C154" s="121" t="s">
        <v>82</v>
      </c>
      <c r="D154" s="121" t="s">
        <v>13</v>
      </c>
      <c r="E154" s="121" t="s">
        <v>62</v>
      </c>
      <c r="F154" s="127" t="s">
        <v>199</v>
      </c>
      <c r="G154" s="127" t="s">
        <v>6</v>
      </c>
      <c r="H154" s="127" t="s">
        <v>201</v>
      </c>
      <c r="I154" s="127" t="s">
        <v>260</v>
      </c>
      <c r="J154" s="121" t="s">
        <v>20</v>
      </c>
      <c r="K154" s="158">
        <f>184.6</f>
        <v>184.6</v>
      </c>
      <c r="L154" s="158">
        <f>184.6</f>
        <v>184.6</v>
      </c>
      <c r="M154" s="122">
        <f>184.6</f>
        <v>184.6</v>
      </c>
      <c r="N154" s="124"/>
      <c r="O154" s="125"/>
    </row>
    <row r="155" spans="2:15" s="123" customFormat="1" ht="31.5">
      <c r="B155" s="120" t="s">
        <v>21</v>
      </c>
      <c r="C155" s="121" t="s">
        <v>82</v>
      </c>
      <c r="D155" s="121" t="s">
        <v>13</v>
      </c>
      <c r="E155" s="121" t="s">
        <v>62</v>
      </c>
      <c r="F155" s="127" t="s">
        <v>199</v>
      </c>
      <c r="G155" s="127" t="s">
        <v>6</v>
      </c>
      <c r="H155" s="127" t="s">
        <v>201</v>
      </c>
      <c r="I155" s="127" t="s">
        <v>260</v>
      </c>
      <c r="J155" s="121" t="s">
        <v>22</v>
      </c>
      <c r="K155" s="158">
        <f>K156</f>
        <v>30</v>
      </c>
      <c r="L155" s="158">
        <f>L156</f>
        <v>39.6</v>
      </c>
      <c r="M155" s="122">
        <f>M156</f>
        <v>39.6</v>
      </c>
      <c r="N155" s="124"/>
      <c r="O155" s="125"/>
    </row>
    <row r="156" spans="2:15" s="123" customFormat="1" ht="47.25">
      <c r="B156" s="120" t="s">
        <v>23</v>
      </c>
      <c r="C156" s="121" t="s">
        <v>82</v>
      </c>
      <c r="D156" s="121" t="s">
        <v>13</v>
      </c>
      <c r="E156" s="121" t="s">
        <v>62</v>
      </c>
      <c r="F156" s="127" t="s">
        <v>199</v>
      </c>
      <c r="G156" s="127" t="s">
        <v>6</v>
      </c>
      <c r="H156" s="127" t="s">
        <v>201</v>
      </c>
      <c r="I156" s="127" t="s">
        <v>260</v>
      </c>
      <c r="J156" s="121" t="s">
        <v>24</v>
      </c>
      <c r="K156" s="158">
        <f>30</f>
        <v>30</v>
      </c>
      <c r="L156" s="158">
        <f>30+9.6</f>
        <v>39.6</v>
      </c>
      <c r="M156" s="122">
        <f>30+9.6</f>
        <v>39.6</v>
      </c>
      <c r="N156" s="124"/>
      <c r="O156" s="125"/>
    </row>
    <row r="157" spans="2:15" s="123" customFormat="1" ht="78.75">
      <c r="B157" s="162" t="s">
        <v>261</v>
      </c>
      <c r="C157" s="121" t="s">
        <v>82</v>
      </c>
      <c r="D157" s="121" t="s">
        <v>13</v>
      </c>
      <c r="E157" s="121" t="s">
        <v>62</v>
      </c>
      <c r="F157" s="127" t="s">
        <v>199</v>
      </c>
      <c r="G157" s="127" t="s">
        <v>6</v>
      </c>
      <c r="H157" s="127" t="s">
        <v>201</v>
      </c>
      <c r="I157" s="127" t="s">
        <v>262</v>
      </c>
      <c r="J157" s="121"/>
      <c r="K157" s="158">
        <f>K158+K160</f>
        <v>226.4</v>
      </c>
      <c r="L157" s="158">
        <f>L158+L160</f>
        <v>236.10000000000002</v>
      </c>
      <c r="M157" s="122">
        <f>M158+M160</f>
        <v>236.10000000000002</v>
      </c>
      <c r="N157" s="124"/>
      <c r="O157" s="125"/>
    </row>
    <row r="158" spans="2:15" s="123" customFormat="1" ht="94.5">
      <c r="B158" s="120" t="s">
        <v>17</v>
      </c>
      <c r="C158" s="121" t="s">
        <v>82</v>
      </c>
      <c r="D158" s="121" t="s">
        <v>13</v>
      </c>
      <c r="E158" s="121" t="s">
        <v>62</v>
      </c>
      <c r="F158" s="127" t="s">
        <v>199</v>
      </c>
      <c r="G158" s="127" t="s">
        <v>6</v>
      </c>
      <c r="H158" s="127" t="s">
        <v>201</v>
      </c>
      <c r="I158" s="127" t="s">
        <v>262</v>
      </c>
      <c r="J158" s="121" t="s">
        <v>18</v>
      </c>
      <c r="K158" s="158">
        <f>K159</f>
        <v>184.3</v>
      </c>
      <c r="L158" s="158">
        <f>L159</f>
        <v>184.3</v>
      </c>
      <c r="M158" s="122">
        <f>M159</f>
        <v>184.3</v>
      </c>
      <c r="N158" s="124"/>
      <c r="O158" s="125"/>
    </row>
    <row r="159" spans="2:15" s="123" customFormat="1" ht="31.5">
      <c r="B159" s="120" t="s">
        <v>19</v>
      </c>
      <c r="C159" s="121" t="s">
        <v>82</v>
      </c>
      <c r="D159" s="121" t="s">
        <v>13</v>
      </c>
      <c r="E159" s="121" t="s">
        <v>62</v>
      </c>
      <c r="F159" s="127" t="s">
        <v>199</v>
      </c>
      <c r="G159" s="127" t="s">
        <v>6</v>
      </c>
      <c r="H159" s="127" t="s">
        <v>201</v>
      </c>
      <c r="I159" s="127" t="s">
        <v>262</v>
      </c>
      <c r="J159" s="121" t="s">
        <v>20</v>
      </c>
      <c r="K159" s="158">
        <f>184.3</f>
        <v>184.3</v>
      </c>
      <c r="L159" s="158">
        <f>184.3</f>
        <v>184.3</v>
      </c>
      <c r="M159" s="122">
        <f>184.3</f>
        <v>184.3</v>
      </c>
      <c r="N159" s="124"/>
      <c r="O159" s="125"/>
    </row>
    <row r="160" spans="2:15" s="123" customFormat="1" ht="31.5">
      <c r="B160" s="120" t="s">
        <v>21</v>
      </c>
      <c r="C160" s="121" t="s">
        <v>82</v>
      </c>
      <c r="D160" s="121" t="s">
        <v>13</v>
      </c>
      <c r="E160" s="121" t="s">
        <v>62</v>
      </c>
      <c r="F160" s="127" t="s">
        <v>199</v>
      </c>
      <c r="G160" s="127" t="s">
        <v>6</v>
      </c>
      <c r="H160" s="127" t="s">
        <v>201</v>
      </c>
      <c r="I160" s="127" t="s">
        <v>262</v>
      </c>
      <c r="J160" s="121" t="s">
        <v>22</v>
      </c>
      <c r="K160" s="158">
        <f>K161</f>
        <v>42.1</v>
      </c>
      <c r="L160" s="158">
        <f>L161</f>
        <v>51.8</v>
      </c>
      <c r="M160" s="122">
        <f>M161</f>
        <v>51.8</v>
      </c>
      <c r="N160" s="124"/>
      <c r="O160" s="125"/>
    </row>
    <row r="161" spans="2:15" s="123" customFormat="1" ht="47.25">
      <c r="B161" s="120" t="s">
        <v>23</v>
      </c>
      <c r="C161" s="121" t="s">
        <v>82</v>
      </c>
      <c r="D161" s="121" t="s">
        <v>13</v>
      </c>
      <c r="E161" s="121" t="s">
        <v>62</v>
      </c>
      <c r="F161" s="127" t="s">
        <v>199</v>
      </c>
      <c r="G161" s="127" t="s">
        <v>6</v>
      </c>
      <c r="H161" s="127" t="s">
        <v>201</v>
      </c>
      <c r="I161" s="127" t="s">
        <v>262</v>
      </c>
      <c r="J161" s="121" t="s">
        <v>24</v>
      </c>
      <c r="K161" s="158">
        <f>42.1</f>
        <v>42.1</v>
      </c>
      <c r="L161" s="158">
        <f>51.8</f>
        <v>51.8</v>
      </c>
      <c r="M161" s="122">
        <f>51.8</f>
        <v>51.8</v>
      </c>
      <c r="N161" s="124"/>
      <c r="O161" s="125"/>
    </row>
    <row r="162" spans="2:15" s="123" customFormat="1" ht="94.5">
      <c r="B162" s="120" t="s">
        <v>263</v>
      </c>
      <c r="C162" s="121" t="s">
        <v>82</v>
      </c>
      <c r="D162" s="121" t="s">
        <v>13</v>
      </c>
      <c r="E162" s="121" t="s">
        <v>62</v>
      </c>
      <c r="F162" s="127" t="s">
        <v>199</v>
      </c>
      <c r="G162" s="127" t="s">
        <v>6</v>
      </c>
      <c r="H162" s="127" t="s">
        <v>201</v>
      </c>
      <c r="I162" s="127" t="s">
        <v>264</v>
      </c>
      <c r="J162" s="121"/>
      <c r="K162" s="158">
        <f>K163+K165</f>
        <v>817.5</v>
      </c>
      <c r="L162" s="158">
        <f>L163+L165</f>
        <v>848.9</v>
      </c>
      <c r="M162" s="122">
        <f>M163+M165</f>
        <v>848.9</v>
      </c>
      <c r="N162" s="124"/>
      <c r="O162" s="125"/>
    </row>
    <row r="163" spans="2:15" s="123" customFormat="1" ht="94.5">
      <c r="B163" s="120" t="s">
        <v>17</v>
      </c>
      <c r="C163" s="121" t="s">
        <v>82</v>
      </c>
      <c r="D163" s="121" t="s">
        <v>13</v>
      </c>
      <c r="E163" s="121" t="s">
        <v>62</v>
      </c>
      <c r="F163" s="127" t="s">
        <v>199</v>
      </c>
      <c r="G163" s="127" t="s">
        <v>6</v>
      </c>
      <c r="H163" s="127" t="s">
        <v>201</v>
      </c>
      <c r="I163" s="127" t="s">
        <v>264</v>
      </c>
      <c r="J163" s="121" t="s">
        <v>18</v>
      </c>
      <c r="K163" s="158">
        <f>K164</f>
        <v>737.5</v>
      </c>
      <c r="L163" s="158">
        <f>L164</f>
        <v>737.5</v>
      </c>
      <c r="M163" s="122">
        <f>M164</f>
        <v>737.5</v>
      </c>
      <c r="N163" s="124"/>
      <c r="O163" s="125"/>
    </row>
    <row r="164" spans="2:15" s="123" customFormat="1" ht="31.5">
      <c r="B164" s="120" t="s">
        <v>19</v>
      </c>
      <c r="C164" s="121" t="s">
        <v>82</v>
      </c>
      <c r="D164" s="121" t="s">
        <v>13</v>
      </c>
      <c r="E164" s="121" t="s">
        <v>62</v>
      </c>
      <c r="F164" s="127" t="s">
        <v>199</v>
      </c>
      <c r="G164" s="127" t="s">
        <v>6</v>
      </c>
      <c r="H164" s="127" t="s">
        <v>201</v>
      </c>
      <c r="I164" s="127" t="s">
        <v>264</v>
      </c>
      <c r="J164" s="121" t="s">
        <v>20</v>
      </c>
      <c r="K164" s="158">
        <f>737.5</f>
        <v>737.5</v>
      </c>
      <c r="L164" s="158">
        <f>737.5</f>
        <v>737.5</v>
      </c>
      <c r="M164" s="122">
        <f>737.5</f>
        <v>737.5</v>
      </c>
      <c r="N164" s="124"/>
      <c r="O164" s="125"/>
    </row>
    <row r="165" spans="2:15" s="123" customFormat="1" ht="47.25">
      <c r="B165" s="120" t="s">
        <v>206</v>
      </c>
      <c r="C165" s="121" t="s">
        <v>82</v>
      </c>
      <c r="D165" s="121" t="s">
        <v>13</v>
      </c>
      <c r="E165" s="121" t="s">
        <v>62</v>
      </c>
      <c r="F165" s="127" t="s">
        <v>199</v>
      </c>
      <c r="G165" s="127" t="s">
        <v>6</v>
      </c>
      <c r="H165" s="127" t="s">
        <v>201</v>
      </c>
      <c r="I165" s="127" t="s">
        <v>264</v>
      </c>
      <c r="J165" s="121" t="s">
        <v>22</v>
      </c>
      <c r="K165" s="158">
        <f>K166</f>
        <v>80</v>
      </c>
      <c r="L165" s="158">
        <f>L166</f>
        <v>111.39999999999999</v>
      </c>
      <c r="M165" s="122">
        <f>M166</f>
        <v>111.39999999999999</v>
      </c>
      <c r="N165" s="124"/>
      <c r="O165" s="125"/>
    </row>
    <row r="166" spans="2:15" s="123" customFormat="1" ht="47.25">
      <c r="B166" s="120" t="s">
        <v>23</v>
      </c>
      <c r="C166" s="121" t="s">
        <v>82</v>
      </c>
      <c r="D166" s="121" t="s">
        <v>13</v>
      </c>
      <c r="E166" s="121" t="s">
        <v>62</v>
      </c>
      <c r="F166" s="127" t="s">
        <v>199</v>
      </c>
      <c r="G166" s="127" t="s">
        <v>6</v>
      </c>
      <c r="H166" s="127" t="s">
        <v>201</v>
      </c>
      <c r="I166" s="127" t="s">
        <v>264</v>
      </c>
      <c r="J166" s="121" t="s">
        <v>24</v>
      </c>
      <c r="K166" s="158">
        <f>80</f>
        <v>80</v>
      </c>
      <c r="L166" s="158">
        <f>167.6-56.2</f>
        <v>111.39999999999999</v>
      </c>
      <c r="M166" s="122">
        <f>167.6-56.2</f>
        <v>111.39999999999999</v>
      </c>
      <c r="N166" s="124"/>
      <c r="O166" s="125"/>
    </row>
    <row r="167" spans="2:15" s="117" customFormat="1">
      <c r="B167" s="114" t="s">
        <v>33</v>
      </c>
      <c r="C167" s="115" t="s">
        <v>82</v>
      </c>
      <c r="D167" s="115" t="s">
        <v>13</v>
      </c>
      <c r="E167" s="115" t="s">
        <v>34</v>
      </c>
      <c r="F167" s="115"/>
      <c r="G167" s="115"/>
      <c r="H167" s="115"/>
      <c r="I167" s="115"/>
      <c r="J167" s="115"/>
      <c r="K167" s="157">
        <f t="shared" ref="K167:M171" si="20">K168</f>
        <v>30</v>
      </c>
      <c r="L167" s="157">
        <f t="shared" si="20"/>
        <v>30.749999999999996</v>
      </c>
      <c r="M167" s="116">
        <f t="shared" si="20"/>
        <v>31.5</v>
      </c>
      <c r="N167" s="118"/>
      <c r="O167" s="119"/>
    </row>
    <row r="168" spans="2:15" s="123" customFormat="1" ht="31.5">
      <c r="B168" s="120" t="s">
        <v>198</v>
      </c>
      <c r="C168" s="121" t="s">
        <v>82</v>
      </c>
      <c r="D168" s="121" t="s">
        <v>13</v>
      </c>
      <c r="E168" s="121" t="s">
        <v>34</v>
      </c>
      <c r="F168" s="127" t="s">
        <v>199</v>
      </c>
      <c r="G168" s="127" t="s">
        <v>200</v>
      </c>
      <c r="H168" s="127" t="s">
        <v>201</v>
      </c>
      <c r="I168" s="127" t="s">
        <v>202</v>
      </c>
      <c r="J168" s="121"/>
      <c r="K168" s="158">
        <f t="shared" si="20"/>
        <v>30</v>
      </c>
      <c r="L168" s="158">
        <f t="shared" si="20"/>
        <v>30.749999999999996</v>
      </c>
      <c r="M168" s="122">
        <f t="shared" si="20"/>
        <v>31.5</v>
      </c>
      <c r="N168" s="124"/>
      <c r="O168" s="125"/>
    </row>
    <row r="169" spans="2:15" s="123" customFormat="1" ht="47.25">
      <c r="B169" s="126" t="s">
        <v>44</v>
      </c>
      <c r="C169" s="121" t="s">
        <v>82</v>
      </c>
      <c r="D169" s="121" t="s">
        <v>13</v>
      </c>
      <c r="E169" s="121" t="s">
        <v>34</v>
      </c>
      <c r="F169" s="127" t="s">
        <v>199</v>
      </c>
      <c r="G169" s="127" t="s">
        <v>7</v>
      </c>
      <c r="H169" s="127" t="s">
        <v>201</v>
      </c>
      <c r="I169" s="127" t="s">
        <v>202</v>
      </c>
      <c r="J169" s="121"/>
      <c r="K169" s="158">
        <f t="shared" si="20"/>
        <v>30</v>
      </c>
      <c r="L169" s="158">
        <f t="shared" si="20"/>
        <v>30.749999999999996</v>
      </c>
      <c r="M169" s="122">
        <f t="shared" si="20"/>
        <v>31.5</v>
      </c>
      <c r="N169" s="124"/>
      <c r="O169" s="125"/>
    </row>
    <row r="170" spans="2:15" s="123" customFormat="1" ht="31.5">
      <c r="B170" s="126" t="s">
        <v>265</v>
      </c>
      <c r="C170" s="121" t="s">
        <v>82</v>
      </c>
      <c r="D170" s="121" t="s">
        <v>13</v>
      </c>
      <c r="E170" s="121" t="s">
        <v>34</v>
      </c>
      <c r="F170" s="127" t="s">
        <v>199</v>
      </c>
      <c r="G170" s="127" t="s">
        <v>7</v>
      </c>
      <c r="H170" s="127" t="s">
        <v>201</v>
      </c>
      <c r="I170" s="127" t="s">
        <v>266</v>
      </c>
      <c r="J170" s="121"/>
      <c r="K170" s="158">
        <f t="shared" si="20"/>
        <v>30</v>
      </c>
      <c r="L170" s="158">
        <f t="shared" si="20"/>
        <v>30.749999999999996</v>
      </c>
      <c r="M170" s="122">
        <f t="shared" si="20"/>
        <v>31.5</v>
      </c>
      <c r="N170" s="124"/>
      <c r="O170" s="125"/>
    </row>
    <row r="171" spans="2:15" s="123" customFormat="1">
      <c r="B171" s="120" t="s">
        <v>25</v>
      </c>
      <c r="C171" s="121" t="s">
        <v>82</v>
      </c>
      <c r="D171" s="121" t="s">
        <v>13</v>
      </c>
      <c r="E171" s="121" t="s">
        <v>34</v>
      </c>
      <c r="F171" s="127" t="s">
        <v>199</v>
      </c>
      <c r="G171" s="127" t="s">
        <v>7</v>
      </c>
      <c r="H171" s="127" t="s">
        <v>201</v>
      </c>
      <c r="I171" s="127" t="s">
        <v>266</v>
      </c>
      <c r="J171" s="121" t="s">
        <v>26</v>
      </c>
      <c r="K171" s="158">
        <f t="shared" si="20"/>
        <v>30</v>
      </c>
      <c r="L171" s="158">
        <f t="shared" si="20"/>
        <v>30.749999999999996</v>
      </c>
      <c r="M171" s="122">
        <f t="shared" si="20"/>
        <v>31.5</v>
      </c>
      <c r="N171" s="124"/>
      <c r="O171" s="125"/>
    </row>
    <row r="172" spans="2:15" s="123" customFormat="1">
      <c r="B172" s="120" t="s">
        <v>27</v>
      </c>
      <c r="C172" s="121" t="s">
        <v>82</v>
      </c>
      <c r="D172" s="121" t="s">
        <v>13</v>
      </c>
      <c r="E172" s="121" t="s">
        <v>34</v>
      </c>
      <c r="F172" s="127" t="s">
        <v>199</v>
      </c>
      <c r="G172" s="127" t="s">
        <v>7</v>
      </c>
      <c r="H172" s="127" t="s">
        <v>201</v>
      </c>
      <c r="I172" s="127" t="s">
        <v>266</v>
      </c>
      <c r="J172" s="121" t="s">
        <v>28</v>
      </c>
      <c r="K172" s="158">
        <f>0+30</f>
        <v>30</v>
      </c>
      <c r="L172" s="158">
        <f>30*102.5%</f>
        <v>30.749999999999996</v>
      </c>
      <c r="M172" s="122">
        <f>30*105%</f>
        <v>31.5</v>
      </c>
      <c r="N172" s="124"/>
      <c r="O172" s="125"/>
    </row>
    <row r="173" spans="2:15" s="117" customFormat="1" ht="31.5">
      <c r="B173" s="114" t="s">
        <v>89</v>
      </c>
      <c r="C173" s="115" t="s">
        <v>82</v>
      </c>
      <c r="D173" s="115" t="s">
        <v>39</v>
      </c>
      <c r="E173" s="115"/>
      <c r="F173" s="115"/>
      <c r="G173" s="115"/>
      <c r="H173" s="115"/>
      <c r="I173" s="115"/>
      <c r="J173" s="115"/>
      <c r="K173" s="157">
        <f t="shared" ref="K173:M175" si="21">K174</f>
        <v>200</v>
      </c>
      <c r="L173" s="157">
        <f t="shared" si="21"/>
        <v>204.99999999999997</v>
      </c>
      <c r="M173" s="116">
        <f t="shared" si="21"/>
        <v>210</v>
      </c>
      <c r="N173" s="118"/>
      <c r="O173" s="119"/>
    </row>
    <row r="174" spans="2:15" s="117" customFormat="1" ht="47.25">
      <c r="B174" s="114" t="s">
        <v>90</v>
      </c>
      <c r="C174" s="115" t="s">
        <v>82</v>
      </c>
      <c r="D174" s="115" t="s">
        <v>39</v>
      </c>
      <c r="E174" s="115" t="s">
        <v>49</v>
      </c>
      <c r="F174" s="115"/>
      <c r="G174" s="115"/>
      <c r="H174" s="115"/>
      <c r="I174" s="115"/>
      <c r="J174" s="115"/>
      <c r="K174" s="157">
        <f t="shared" si="21"/>
        <v>200</v>
      </c>
      <c r="L174" s="157">
        <f t="shared" si="21"/>
        <v>204.99999999999997</v>
      </c>
      <c r="M174" s="116">
        <f t="shared" si="21"/>
        <v>210</v>
      </c>
      <c r="N174" s="118"/>
      <c r="O174" s="119"/>
    </row>
    <row r="175" spans="2:15" s="123" customFormat="1" ht="47.25">
      <c r="B175" s="120" t="s">
        <v>91</v>
      </c>
      <c r="C175" s="121" t="s">
        <v>82</v>
      </c>
      <c r="D175" s="121" t="s">
        <v>39</v>
      </c>
      <c r="E175" s="121" t="s">
        <v>49</v>
      </c>
      <c r="F175" s="135" t="s">
        <v>267</v>
      </c>
      <c r="G175" s="135" t="s">
        <v>200</v>
      </c>
      <c r="H175" s="135" t="s">
        <v>201</v>
      </c>
      <c r="I175" s="135" t="s">
        <v>202</v>
      </c>
      <c r="J175" s="121"/>
      <c r="K175" s="158">
        <f t="shared" si="21"/>
        <v>200</v>
      </c>
      <c r="L175" s="158">
        <f t="shared" si="21"/>
        <v>204.99999999999997</v>
      </c>
      <c r="M175" s="122">
        <f t="shared" si="21"/>
        <v>210</v>
      </c>
      <c r="N175" s="124"/>
      <c r="O175" s="125"/>
    </row>
    <row r="176" spans="2:15" s="123" customFormat="1" ht="78.75">
      <c r="B176" s="120" t="s">
        <v>268</v>
      </c>
      <c r="C176" s="121" t="s">
        <v>82</v>
      </c>
      <c r="D176" s="121" t="s">
        <v>39</v>
      </c>
      <c r="E176" s="121" t="s">
        <v>49</v>
      </c>
      <c r="F176" s="135" t="s">
        <v>267</v>
      </c>
      <c r="G176" s="135" t="s">
        <v>223</v>
      </c>
      <c r="H176" s="135" t="s">
        <v>201</v>
      </c>
      <c r="I176" s="135" t="s">
        <v>202</v>
      </c>
      <c r="J176" s="121"/>
      <c r="K176" s="158">
        <f>K177+K181</f>
        <v>200</v>
      </c>
      <c r="L176" s="158">
        <f>L177+L181</f>
        <v>204.99999999999997</v>
      </c>
      <c r="M176" s="122">
        <f>M177+M181</f>
        <v>210</v>
      </c>
      <c r="N176" s="124"/>
      <c r="O176" s="125"/>
    </row>
    <row r="177" spans="2:15" s="123" customFormat="1" ht="31.5">
      <c r="B177" s="120" t="s">
        <v>269</v>
      </c>
      <c r="C177" s="121" t="s">
        <v>82</v>
      </c>
      <c r="D177" s="121" t="s">
        <v>39</v>
      </c>
      <c r="E177" s="121" t="s">
        <v>49</v>
      </c>
      <c r="F177" s="135" t="s">
        <v>267</v>
      </c>
      <c r="G177" s="135" t="s">
        <v>223</v>
      </c>
      <c r="H177" s="135" t="s">
        <v>39</v>
      </c>
      <c r="I177" s="135" t="s">
        <v>202</v>
      </c>
      <c r="J177" s="121"/>
      <c r="K177" s="158">
        <f t="shared" ref="K177:M179" si="22">K178</f>
        <v>100</v>
      </c>
      <c r="L177" s="158">
        <f t="shared" si="22"/>
        <v>102.49999999999999</v>
      </c>
      <c r="M177" s="122">
        <f t="shared" si="22"/>
        <v>105</v>
      </c>
      <c r="N177" s="124"/>
      <c r="O177" s="125"/>
    </row>
    <row r="178" spans="2:15" s="123" customFormat="1">
      <c r="B178" s="120" t="s">
        <v>240</v>
      </c>
      <c r="C178" s="121" t="s">
        <v>82</v>
      </c>
      <c r="D178" s="121" t="s">
        <v>39</v>
      </c>
      <c r="E178" s="121" t="s">
        <v>49</v>
      </c>
      <c r="F178" s="135" t="s">
        <v>267</v>
      </c>
      <c r="G178" s="135" t="s">
        <v>223</v>
      </c>
      <c r="H178" s="135" t="s">
        <v>39</v>
      </c>
      <c r="I178" s="135" t="s">
        <v>241</v>
      </c>
      <c r="J178" s="121"/>
      <c r="K178" s="158">
        <f t="shared" si="22"/>
        <v>100</v>
      </c>
      <c r="L178" s="158">
        <f t="shared" si="22"/>
        <v>102.49999999999999</v>
      </c>
      <c r="M178" s="122">
        <f t="shared" si="22"/>
        <v>105</v>
      </c>
      <c r="N178" s="124"/>
      <c r="O178" s="125"/>
    </row>
    <row r="179" spans="2:15" s="123" customFormat="1" ht="47.25">
      <c r="B179" s="120" t="s">
        <v>206</v>
      </c>
      <c r="C179" s="121" t="s">
        <v>82</v>
      </c>
      <c r="D179" s="121" t="s">
        <v>39</v>
      </c>
      <c r="E179" s="121" t="s">
        <v>49</v>
      </c>
      <c r="F179" s="135" t="s">
        <v>267</v>
      </c>
      <c r="G179" s="135" t="s">
        <v>223</v>
      </c>
      <c r="H179" s="135" t="s">
        <v>39</v>
      </c>
      <c r="I179" s="135" t="s">
        <v>241</v>
      </c>
      <c r="J179" s="121" t="s">
        <v>22</v>
      </c>
      <c r="K179" s="158">
        <f t="shared" si="22"/>
        <v>100</v>
      </c>
      <c r="L179" s="158">
        <f t="shared" si="22"/>
        <v>102.49999999999999</v>
      </c>
      <c r="M179" s="122">
        <f t="shared" si="22"/>
        <v>105</v>
      </c>
      <c r="N179" s="124"/>
      <c r="O179" s="125"/>
    </row>
    <row r="180" spans="2:15" s="123" customFormat="1" ht="47.25">
      <c r="B180" s="120" t="s">
        <v>23</v>
      </c>
      <c r="C180" s="121" t="s">
        <v>82</v>
      </c>
      <c r="D180" s="121" t="s">
        <v>39</v>
      </c>
      <c r="E180" s="121" t="s">
        <v>49</v>
      </c>
      <c r="F180" s="135" t="s">
        <v>267</v>
      </c>
      <c r="G180" s="135" t="s">
        <v>223</v>
      </c>
      <c r="H180" s="135" t="s">
        <v>39</v>
      </c>
      <c r="I180" s="135" t="s">
        <v>241</v>
      </c>
      <c r="J180" s="121" t="s">
        <v>24</v>
      </c>
      <c r="K180" s="158">
        <f>100</f>
        <v>100</v>
      </c>
      <c r="L180" s="158">
        <f>100*102.5%</f>
        <v>102.49999999999999</v>
      </c>
      <c r="M180" s="122">
        <f>100*105%</f>
        <v>105</v>
      </c>
      <c r="N180" s="124"/>
      <c r="O180" s="125"/>
    </row>
    <row r="181" spans="2:15" s="123" customFormat="1" ht="31.5">
      <c r="B181" s="120" t="s">
        <v>270</v>
      </c>
      <c r="C181" s="121" t="s">
        <v>82</v>
      </c>
      <c r="D181" s="121" t="s">
        <v>39</v>
      </c>
      <c r="E181" s="121" t="s">
        <v>49</v>
      </c>
      <c r="F181" s="135" t="s">
        <v>267</v>
      </c>
      <c r="G181" s="135" t="s">
        <v>223</v>
      </c>
      <c r="H181" s="135" t="s">
        <v>13</v>
      </c>
      <c r="I181" s="135" t="s">
        <v>202</v>
      </c>
      <c r="J181" s="121"/>
      <c r="K181" s="158">
        <f t="shared" ref="K181:M183" si="23">K182</f>
        <v>100</v>
      </c>
      <c r="L181" s="158">
        <f t="shared" si="23"/>
        <v>102.49999999999999</v>
      </c>
      <c r="M181" s="122">
        <f t="shared" si="23"/>
        <v>105</v>
      </c>
      <c r="N181" s="124"/>
      <c r="O181" s="125"/>
    </row>
    <row r="182" spans="2:15" s="123" customFormat="1">
      <c r="B182" s="120" t="s">
        <v>240</v>
      </c>
      <c r="C182" s="121" t="s">
        <v>82</v>
      </c>
      <c r="D182" s="121" t="s">
        <v>39</v>
      </c>
      <c r="E182" s="121" t="s">
        <v>49</v>
      </c>
      <c r="F182" s="135" t="s">
        <v>267</v>
      </c>
      <c r="G182" s="135" t="s">
        <v>223</v>
      </c>
      <c r="H182" s="135" t="s">
        <v>13</v>
      </c>
      <c r="I182" s="135" t="s">
        <v>241</v>
      </c>
      <c r="J182" s="121"/>
      <c r="K182" s="158">
        <f t="shared" si="23"/>
        <v>100</v>
      </c>
      <c r="L182" s="158">
        <f t="shared" si="23"/>
        <v>102.49999999999999</v>
      </c>
      <c r="M182" s="122">
        <f t="shared" si="23"/>
        <v>105</v>
      </c>
      <c r="N182" s="124"/>
      <c r="O182" s="125"/>
    </row>
    <row r="183" spans="2:15" s="123" customFormat="1" ht="47.25">
      <c r="B183" s="120" t="s">
        <v>206</v>
      </c>
      <c r="C183" s="121" t="s">
        <v>82</v>
      </c>
      <c r="D183" s="121" t="s">
        <v>39</v>
      </c>
      <c r="E183" s="121" t="s">
        <v>49</v>
      </c>
      <c r="F183" s="135" t="s">
        <v>267</v>
      </c>
      <c r="G183" s="135" t="s">
        <v>223</v>
      </c>
      <c r="H183" s="135" t="s">
        <v>13</v>
      </c>
      <c r="I183" s="135" t="s">
        <v>241</v>
      </c>
      <c r="J183" s="121" t="s">
        <v>22</v>
      </c>
      <c r="K183" s="158">
        <f t="shared" si="23"/>
        <v>100</v>
      </c>
      <c r="L183" s="158">
        <f t="shared" si="23"/>
        <v>102.49999999999999</v>
      </c>
      <c r="M183" s="122">
        <f t="shared" si="23"/>
        <v>105</v>
      </c>
      <c r="N183" s="124"/>
      <c r="O183" s="125"/>
    </row>
    <row r="184" spans="2:15" s="123" customFormat="1" ht="47.25">
      <c r="B184" s="120" t="s">
        <v>23</v>
      </c>
      <c r="C184" s="121" t="s">
        <v>82</v>
      </c>
      <c r="D184" s="121" t="s">
        <v>39</v>
      </c>
      <c r="E184" s="121" t="s">
        <v>49</v>
      </c>
      <c r="F184" s="135" t="s">
        <v>267</v>
      </c>
      <c r="G184" s="135" t="s">
        <v>223</v>
      </c>
      <c r="H184" s="135" t="s">
        <v>13</v>
      </c>
      <c r="I184" s="135" t="s">
        <v>241</v>
      </c>
      <c r="J184" s="121" t="s">
        <v>24</v>
      </c>
      <c r="K184" s="158">
        <f>100</f>
        <v>100</v>
      </c>
      <c r="L184" s="158">
        <f>100*102.5%</f>
        <v>102.49999999999999</v>
      </c>
      <c r="M184" s="122">
        <f>100*105%</f>
        <v>105</v>
      </c>
      <c r="N184" s="124"/>
      <c r="O184" s="125"/>
    </row>
    <row r="185" spans="2:15" s="117" customFormat="1">
      <c r="B185" s="114" t="s">
        <v>61</v>
      </c>
      <c r="C185" s="115" t="s">
        <v>82</v>
      </c>
      <c r="D185" s="115" t="s">
        <v>62</v>
      </c>
      <c r="E185" s="115"/>
      <c r="F185" s="115"/>
      <c r="G185" s="115"/>
      <c r="H185" s="115"/>
      <c r="I185" s="115"/>
      <c r="J185" s="115"/>
      <c r="K185" s="157">
        <f t="shared" ref="K185:M186" si="24">K186</f>
        <v>47129.600000000006</v>
      </c>
      <c r="L185" s="157">
        <f t="shared" si="24"/>
        <v>23691.599999999999</v>
      </c>
      <c r="M185" s="116">
        <f t="shared" si="24"/>
        <v>28028</v>
      </c>
      <c r="N185" s="118"/>
      <c r="O185" s="119"/>
    </row>
    <row r="186" spans="2:15" s="117" customFormat="1">
      <c r="B186" s="114" t="s">
        <v>93</v>
      </c>
      <c r="C186" s="115" t="s">
        <v>82</v>
      </c>
      <c r="D186" s="115" t="s">
        <v>62</v>
      </c>
      <c r="E186" s="115" t="s">
        <v>92</v>
      </c>
      <c r="F186" s="115"/>
      <c r="G186" s="115"/>
      <c r="H186" s="115"/>
      <c r="I186" s="115"/>
      <c r="J186" s="115"/>
      <c r="K186" s="157">
        <f t="shared" si="24"/>
        <v>47129.600000000006</v>
      </c>
      <c r="L186" s="157">
        <f t="shared" si="24"/>
        <v>23691.599999999999</v>
      </c>
      <c r="M186" s="116">
        <f t="shared" si="24"/>
        <v>28028</v>
      </c>
      <c r="N186" s="118"/>
      <c r="O186" s="119"/>
    </row>
    <row r="187" spans="2:15" s="123" customFormat="1" ht="47.25">
      <c r="B187" s="126" t="s">
        <v>91</v>
      </c>
      <c r="C187" s="121" t="s">
        <v>82</v>
      </c>
      <c r="D187" s="121" t="s">
        <v>62</v>
      </c>
      <c r="E187" s="121" t="s">
        <v>92</v>
      </c>
      <c r="F187" s="135" t="s">
        <v>267</v>
      </c>
      <c r="G187" s="135" t="s">
        <v>200</v>
      </c>
      <c r="H187" s="135" t="s">
        <v>201</v>
      </c>
      <c r="I187" s="135" t="s">
        <v>202</v>
      </c>
      <c r="J187" s="121"/>
      <c r="K187" s="158">
        <f>K188+K196</f>
        <v>47129.600000000006</v>
      </c>
      <c r="L187" s="158">
        <f>L188+L196</f>
        <v>23691.599999999999</v>
      </c>
      <c r="M187" s="122">
        <f>M188+M196</f>
        <v>28028</v>
      </c>
      <c r="N187" s="124"/>
      <c r="O187" s="125"/>
    </row>
    <row r="188" spans="2:15" s="123" customFormat="1" ht="47.25">
      <c r="B188" s="126" t="s">
        <v>271</v>
      </c>
      <c r="C188" s="121" t="s">
        <v>82</v>
      </c>
      <c r="D188" s="121" t="s">
        <v>62</v>
      </c>
      <c r="E188" s="121" t="s">
        <v>92</v>
      </c>
      <c r="F188" s="135" t="s">
        <v>267</v>
      </c>
      <c r="G188" s="135" t="s">
        <v>6</v>
      </c>
      <c r="H188" s="135" t="s">
        <v>201</v>
      </c>
      <c r="I188" s="135" t="s">
        <v>202</v>
      </c>
      <c r="J188" s="121"/>
      <c r="K188" s="158">
        <f>K193+K190</f>
        <v>29883.800000000003</v>
      </c>
      <c r="L188" s="158">
        <f>L193+L190</f>
        <v>10589.6</v>
      </c>
      <c r="M188" s="122">
        <f>M193+M190</f>
        <v>14926.000000000002</v>
      </c>
      <c r="N188" s="124"/>
      <c r="O188" s="125"/>
    </row>
    <row r="189" spans="2:15" s="123" customFormat="1" ht="47.25">
      <c r="B189" s="126" t="s">
        <v>272</v>
      </c>
      <c r="C189" s="121" t="s">
        <v>82</v>
      </c>
      <c r="D189" s="121" t="s">
        <v>62</v>
      </c>
      <c r="E189" s="121" t="s">
        <v>92</v>
      </c>
      <c r="F189" s="135" t="s">
        <v>267</v>
      </c>
      <c r="G189" s="135" t="s">
        <v>6</v>
      </c>
      <c r="H189" s="135" t="s">
        <v>38</v>
      </c>
      <c r="I189" s="135" t="s">
        <v>202</v>
      </c>
      <c r="J189" s="121"/>
      <c r="K189" s="158">
        <f>K190+K193</f>
        <v>29883.800000000003</v>
      </c>
      <c r="L189" s="158">
        <f>L190+L193</f>
        <v>10589.6</v>
      </c>
      <c r="M189" s="122">
        <f>M190+M193</f>
        <v>14926.000000000002</v>
      </c>
      <c r="N189" s="124"/>
      <c r="O189" s="125"/>
    </row>
    <row r="190" spans="2:15" s="123" customFormat="1" ht="63">
      <c r="B190" s="126" t="s">
        <v>273</v>
      </c>
      <c r="C190" s="121" t="s">
        <v>82</v>
      </c>
      <c r="D190" s="121" t="s">
        <v>62</v>
      </c>
      <c r="E190" s="121" t="s">
        <v>92</v>
      </c>
      <c r="F190" s="135" t="s">
        <v>267</v>
      </c>
      <c r="G190" s="135" t="s">
        <v>6</v>
      </c>
      <c r="H190" s="135" t="s">
        <v>38</v>
      </c>
      <c r="I190" s="135" t="s">
        <v>274</v>
      </c>
      <c r="J190" s="121"/>
      <c r="K190" s="158">
        <f t="shared" ref="K190:M191" si="25">K191</f>
        <v>22000</v>
      </c>
      <c r="L190" s="158">
        <f t="shared" si="25"/>
        <v>2705.7999999999993</v>
      </c>
      <c r="M190" s="122">
        <f t="shared" si="25"/>
        <v>7042.2000000000007</v>
      </c>
      <c r="N190" s="124"/>
      <c r="O190" s="125"/>
    </row>
    <row r="191" spans="2:15" s="123" customFormat="1" ht="47.25">
      <c r="B191" s="120" t="s">
        <v>206</v>
      </c>
      <c r="C191" s="121" t="s">
        <v>82</v>
      </c>
      <c r="D191" s="121" t="s">
        <v>62</v>
      </c>
      <c r="E191" s="121" t="s">
        <v>92</v>
      </c>
      <c r="F191" s="135" t="s">
        <v>267</v>
      </c>
      <c r="G191" s="135" t="s">
        <v>6</v>
      </c>
      <c r="H191" s="135" t="s">
        <v>38</v>
      </c>
      <c r="I191" s="135" t="s">
        <v>274</v>
      </c>
      <c r="J191" s="121" t="s">
        <v>22</v>
      </c>
      <c r="K191" s="158">
        <f t="shared" si="25"/>
        <v>22000</v>
      </c>
      <c r="L191" s="158">
        <f t="shared" si="25"/>
        <v>2705.7999999999993</v>
      </c>
      <c r="M191" s="122">
        <f t="shared" si="25"/>
        <v>7042.2000000000007</v>
      </c>
      <c r="N191" s="124"/>
      <c r="O191" s="125"/>
    </row>
    <row r="192" spans="2:15" s="123" customFormat="1" ht="47.25">
      <c r="B192" s="120" t="s">
        <v>23</v>
      </c>
      <c r="C192" s="121" t="s">
        <v>82</v>
      </c>
      <c r="D192" s="121" t="s">
        <v>62</v>
      </c>
      <c r="E192" s="121" t="s">
        <v>92</v>
      </c>
      <c r="F192" s="135" t="s">
        <v>267</v>
      </c>
      <c r="G192" s="135" t="s">
        <v>6</v>
      </c>
      <c r="H192" s="135" t="s">
        <v>38</v>
      </c>
      <c r="I192" s="135" t="s">
        <v>274</v>
      </c>
      <c r="J192" s="121" t="s">
        <v>24</v>
      </c>
      <c r="K192" s="158">
        <f>(5703.4+5031.3)+(2442.3+3.1)+(3000+4000+1819.9)</f>
        <v>22000</v>
      </c>
      <c r="L192" s="158">
        <f>22000-19294.2</f>
        <v>2705.7999999999993</v>
      </c>
      <c r="M192" s="122">
        <f>22000-4957.8-10000</f>
        <v>7042.2000000000007</v>
      </c>
      <c r="N192" s="124"/>
      <c r="O192" s="125"/>
    </row>
    <row r="193" spans="2:15" s="123" customFormat="1" ht="47.25">
      <c r="B193" s="126" t="s">
        <v>275</v>
      </c>
      <c r="C193" s="121" t="s">
        <v>82</v>
      </c>
      <c r="D193" s="121" t="s">
        <v>62</v>
      </c>
      <c r="E193" s="121" t="s">
        <v>92</v>
      </c>
      <c r="F193" s="135" t="s">
        <v>267</v>
      </c>
      <c r="G193" s="135" t="s">
        <v>6</v>
      </c>
      <c r="H193" s="135" t="s">
        <v>38</v>
      </c>
      <c r="I193" s="135" t="s">
        <v>276</v>
      </c>
      <c r="J193" s="121"/>
      <c r="K193" s="158">
        <f t="shared" ref="K193:M194" si="26">K194</f>
        <v>7883.8000000000011</v>
      </c>
      <c r="L193" s="158">
        <f t="shared" si="26"/>
        <v>7883.8000000000011</v>
      </c>
      <c r="M193" s="122">
        <f t="shared" si="26"/>
        <v>7883.8000000000011</v>
      </c>
      <c r="N193" s="124"/>
      <c r="O193" s="125"/>
    </row>
    <row r="194" spans="2:15" s="123" customFormat="1" ht="47.25">
      <c r="B194" s="120" t="s">
        <v>206</v>
      </c>
      <c r="C194" s="121" t="s">
        <v>82</v>
      </c>
      <c r="D194" s="121" t="s">
        <v>62</v>
      </c>
      <c r="E194" s="121" t="s">
        <v>92</v>
      </c>
      <c r="F194" s="135" t="s">
        <v>267</v>
      </c>
      <c r="G194" s="135" t="s">
        <v>6</v>
      </c>
      <c r="H194" s="135" t="s">
        <v>38</v>
      </c>
      <c r="I194" s="135" t="s">
        <v>276</v>
      </c>
      <c r="J194" s="121" t="s">
        <v>22</v>
      </c>
      <c r="K194" s="158">
        <f t="shared" si="26"/>
        <v>7883.8000000000011</v>
      </c>
      <c r="L194" s="158">
        <f t="shared" si="26"/>
        <v>7883.8000000000011</v>
      </c>
      <c r="M194" s="122">
        <f t="shared" si="26"/>
        <v>7883.8000000000011</v>
      </c>
      <c r="N194" s="124"/>
      <c r="O194" s="125"/>
    </row>
    <row r="195" spans="2:15" s="123" customFormat="1" ht="47.25">
      <c r="B195" s="120" t="s">
        <v>23</v>
      </c>
      <c r="C195" s="121" t="s">
        <v>82</v>
      </c>
      <c r="D195" s="121" t="s">
        <v>62</v>
      </c>
      <c r="E195" s="121" t="s">
        <v>92</v>
      </c>
      <c r="F195" s="135" t="s">
        <v>267</v>
      </c>
      <c r="G195" s="135" t="s">
        <v>6</v>
      </c>
      <c r="H195" s="135" t="s">
        <v>38</v>
      </c>
      <c r="I195" s="135" t="s">
        <v>276</v>
      </c>
      <c r="J195" s="121" t="s">
        <v>24</v>
      </c>
      <c r="K195" s="158">
        <f>(1498.2+1593.6+634.1+1660.9+1559.9+937.1)</f>
        <v>7883.8000000000011</v>
      </c>
      <c r="L195" s="158">
        <f>(1498.2+1593.6+634.1+1660.9+1559.9+937.1)</f>
        <v>7883.8000000000011</v>
      </c>
      <c r="M195" s="122">
        <f>(1498.2+1593.6+634.1+1660.9+1559.9+937.1)</f>
        <v>7883.8000000000011</v>
      </c>
      <c r="N195" s="124"/>
      <c r="O195" s="125"/>
    </row>
    <row r="196" spans="2:15" s="123" customFormat="1" ht="78.75">
      <c r="B196" s="126" t="s">
        <v>277</v>
      </c>
      <c r="C196" s="121" t="s">
        <v>82</v>
      </c>
      <c r="D196" s="121" t="s">
        <v>62</v>
      </c>
      <c r="E196" s="121" t="s">
        <v>92</v>
      </c>
      <c r="F196" s="135" t="s">
        <v>267</v>
      </c>
      <c r="G196" s="135" t="s">
        <v>7</v>
      </c>
      <c r="H196" s="135" t="s">
        <v>201</v>
      </c>
      <c r="I196" s="135" t="s">
        <v>202</v>
      </c>
      <c r="J196" s="121"/>
      <c r="K196" s="158">
        <f t="shared" ref="K196:M199" si="27">K197</f>
        <v>17245.8</v>
      </c>
      <c r="L196" s="158">
        <f t="shared" si="27"/>
        <v>13102</v>
      </c>
      <c r="M196" s="122">
        <f t="shared" si="27"/>
        <v>13102</v>
      </c>
      <c r="N196" s="124"/>
      <c r="O196" s="125"/>
    </row>
    <row r="197" spans="2:15" s="123" customFormat="1" ht="94.5">
      <c r="B197" s="120" t="s">
        <v>278</v>
      </c>
      <c r="C197" s="121" t="s">
        <v>82</v>
      </c>
      <c r="D197" s="121" t="s">
        <v>62</v>
      </c>
      <c r="E197" s="121" t="s">
        <v>92</v>
      </c>
      <c r="F197" s="135" t="s">
        <v>267</v>
      </c>
      <c r="G197" s="135" t="s">
        <v>7</v>
      </c>
      <c r="H197" s="135" t="s">
        <v>13</v>
      </c>
      <c r="I197" s="135" t="s">
        <v>202</v>
      </c>
      <c r="J197" s="121"/>
      <c r="K197" s="158">
        <f t="shared" si="27"/>
        <v>17245.8</v>
      </c>
      <c r="L197" s="158">
        <f t="shared" si="27"/>
        <v>13102</v>
      </c>
      <c r="M197" s="122">
        <f t="shared" si="27"/>
        <v>13102</v>
      </c>
      <c r="N197" s="124"/>
      <c r="O197" s="125"/>
    </row>
    <row r="198" spans="2:15" s="123" customFormat="1" ht="94.5">
      <c r="B198" s="120" t="s">
        <v>279</v>
      </c>
      <c r="C198" s="121" t="s">
        <v>82</v>
      </c>
      <c r="D198" s="121" t="s">
        <v>62</v>
      </c>
      <c r="E198" s="121" t="s">
        <v>92</v>
      </c>
      <c r="F198" s="129" t="s">
        <v>267</v>
      </c>
      <c r="G198" s="129" t="s">
        <v>7</v>
      </c>
      <c r="H198" s="129" t="s">
        <v>13</v>
      </c>
      <c r="I198" s="129" t="s">
        <v>280</v>
      </c>
      <c r="J198" s="121"/>
      <c r="K198" s="158">
        <f t="shared" si="27"/>
        <v>17245.8</v>
      </c>
      <c r="L198" s="178">
        <f t="shared" si="27"/>
        <v>13102</v>
      </c>
      <c r="M198" s="179">
        <f t="shared" si="27"/>
        <v>13102</v>
      </c>
      <c r="N198" s="124"/>
      <c r="O198" s="125"/>
    </row>
    <row r="199" spans="2:15" s="123" customFormat="1" ht="47.25">
      <c r="B199" s="120" t="s">
        <v>206</v>
      </c>
      <c r="C199" s="121" t="s">
        <v>82</v>
      </c>
      <c r="D199" s="121" t="s">
        <v>62</v>
      </c>
      <c r="E199" s="121" t="s">
        <v>92</v>
      </c>
      <c r="F199" s="129" t="s">
        <v>267</v>
      </c>
      <c r="G199" s="129" t="s">
        <v>7</v>
      </c>
      <c r="H199" s="129" t="s">
        <v>13</v>
      </c>
      <c r="I199" s="129" t="s">
        <v>280</v>
      </c>
      <c r="J199" s="121" t="s">
        <v>22</v>
      </c>
      <c r="K199" s="158">
        <f t="shared" si="27"/>
        <v>17245.8</v>
      </c>
      <c r="L199" s="178">
        <f t="shared" si="27"/>
        <v>13102</v>
      </c>
      <c r="M199" s="179">
        <f t="shared" si="27"/>
        <v>13102</v>
      </c>
      <c r="N199" s="124"/>
      <c r="O199" s="125"/>
    </row>
    <row r="200" spans="2:15" s="123" customFormat="1" ht="47.25">
      <c r="B200" s="120" t="s">
        <v>23</v>
      </c>
      <c r="C200" s="121" t="s">
        <v>82</v>
      </c>
      <c r="D200" s="121" t="s">
        <v>62</v>
      </c>
      <c r="E200" s="121" t="s">
        <v>92</v>
      </c>
      <c r="F200" s="129" t="s">
        <v>267</v>
      </c>
      <c r="G200" s="129" t="s">
        <v>7</v>
      </c>
      <c r="H200" s="129" t="s">
        <v>13</v>
      </c>
      <c r="I200" s="129" t="s">
        <v>280</v>
      </c>
      <c r="J200" s="121" t="s">
        <v>24</v>
      </c>
      <c r="K200" s="158">
        <f>17245.8</f>
        <v>17245.8</v>
      </c>
      <c r="L200" s="178">
        <f>13102</f>
        <v>13102</v>
      </c>
      <c r="M200" s="179">
        <f>13102</f>
        <v>13102</v>
      </c>
      <c r="N200" s="124"/>
      <c r="O200" s="125"/>
    </row>
    <row r="201" spans="2:15" s="117" customFormat="1">
      <c r="B201" s="114" t="s">
        <v>74</v>
      </c>
      <c r="C201" s="115" t="s">
        <v>82</v>
      </c>
      <c r="D201" s="115" t="s">
        <v>75</v>
      </c>
      <c r="E201" s="115"/>
      <c r="F201" s="115"/>
      <c r="G201" s="115"/>
      <c r="H201" s="115"/>
      <c r="I201" s="115"/>
      <c r="J201" s="115"/>
      <c r="K201" s="157">
        <f>K202+K210+K218</f>
        <v>1016.8000000000001</v>
      </c>
      <c r="L201" s="157">
        <f>L202+L210+L218</f>
        <v>1040.8150000000001</v>
      </c>
      <c r="M201" s="116">
        <f>M202+M210+M218</f>
        <v>1064.83</v>
      </c>
      <c r="N201" s="118"/>
      <c r="O201" s="119"/>
    </row>
    <row r="202" spans="2:15" s="117" customFormat="1">
      <c r="B202" s="114" t="s">
        <v>96</v>
      </c>
      <c r="C202" s="115" t="s">
        <v>82</v>
      </c>
      <c r="D202" s="115" t="s">
        <v>75</v>
      </c>
      <c r="E202" s="115" t="s">
        <v>13</v>
      </c>
      <c r="F202" s="115"/>
      <c r="G202" s="115"/>
      <c r="H202" s="115"/>
      <c r="I202" s="115"/>
      <c r="J202" s="115"/>
      <c r="K202" s="157">
        <f t="shared" ref="K202:M204" si="28">K203</f>
        <v>882</v>
      </c>
      <c r="L202" s="157">
        <f t="shared" si="28"/>
        <v>904.05</v>
      </c>
      <c r="M202" s="116">
        <f t="shared" si="28"/>
        <v>926.1</v>
      </c>
      <c r="N202" s="118"/>
      <c r="O202" s="119"/>
    </row>
    <row r="203" spans="2:15" s="123" customFormat="1" ht="47.25">
      <c r="B203" s="120" t="s">
        <v>245</v>
      </c>
      <c r="C203" s="121" t="s">
        <v>82</v>
      </c>
      <c r="D203" s="121" t="s">
        <v>75</v>
      </c>
      <c r="E203" s="121" t="s">
        <v>13</v>
      </c>
      <c r="F203" s="127" t="s">
        <v>246</v>
      </c>
      <c r="G203" s="127" t="s">
        <v>200</v>
      </c>
      <c r="H203" s="127" t="s">
        <v>201</v>
      </c>
      <c r="I203" s="127" t="s">
        <v>202</v>
      </c>
      <c r="J203" s="121"/>
      <c r="K203" s="158">
        <f t="shared" si="28"/>
        <v>882</v>
      </c>
      <c r="L203" s="158">
        <f t="shared" si="28"/>
        <v>904.05</v>
      </c>
      <c r="M203" s="122">
        <f t="shared" si="28"/>
        <v>926.1</v>
      </c>
      <c r="N203" s="124"/>
      <c r="O203" s="125"/>
    </row>
    <row r="204" spans="2:15" s="123" customFormat="1">
      <c r="B204" s="126" t="s">
        <v>96</v>
      </c>
      <c r="C204" s="121" t="s">
        <v>82</v>
      </c>
      <c r="D204" s="121" t="s">
        <v>75</v>
      </c>
      <c r="E204" s="121" t="s">
        <v>13</v>
      </c>
      <c r="F204" s="127" t="s">
        <v>246</v>
      </c>
      <c r="G204" s="127" t="s">
        <v>223</v>
      </c>
      <c r="H204" s="127" t="s">
        <v>201</v>
      </c>
      <c r="I204" s="127" t="s">
        <v>202</v>
      </c>
      <c r="J204" s="121"/>
      <c r="K204" s="158">
        <f t="shared" si="28"/>
        <v>882</v>
      </c>
      <c r="L204" s="158">
        <f t="shared" si="28"/>
        <v>904.05</v>
      </c>
      <c r="M204" s="122">
        <f t="shared" si="28"/>
        <v>926.1</v>
      </c>
      <c r="N204" s="124"/>
      <c r="O204" s="125"/>
    </row>
    <row r="205" spans="2:15" s="123" customFormat="1" ht="31.5">
      <c r="B205" s="126" t="s">
        <v>97</v>
      </c>
      <c r="C205" s="121" t="s">
        <v>82</v>
      </c>
      <c r="D205" s="121" t="s">
        <v>75</v>
      </c>
      <c r="E205" s="121" t="s">
        <v>13</v>
      </c>
      <c r="F205" s="127" t="s">
        <v>246</v>
      </c>
      <c r="G205" s="127" t="s">
        <v>223</v>
      </c>
      <c r="H205" s="127" t="s">
        <v>201</v>
      </c>
      <c r="I205" s="127" t="s">
        <v>281</v>
      </c>
      <c r="J205" s="121"/>
      <c r="K205" s="158">
        <f>K206+K208</f>
        <v>882</v>
      </c>
      <c r="L205" s="158">
        <f>L206+L208</f>
        <v>904.05</v>
      </c>
      <c r="M205" s="122">
        <f>M206+M208</f>
        <v>926.1</v>
      </c>
      <c r="N205" s="124"/>
      <c r="O205" s="125"/>
    </row>
    <row r="206" spans="2:15" s="123" customFormat="1" ht="47.25">
      <c r="B206" s="120" t="s">
        <v>206</v>
      </c>
      <c r="C206" s="121" t="s">
        <v>82</v>
      </c>
      <c r="D206" s="121" t="s">
        <v>75</v>
      </c>
      <c r="E206" s="121" t="s">
        <v>13</v>
      </c>
      <c r="F206" s="127" t="s">
        <v>246</v>
      </c>
      <c r="G206" s="127" t="s">
        <v>223</v>
      </c>
      <c r="H206" s="127" t="s">
        <v>201</v>
      </c>
      <c r="I206" s="127" t="s">
        <v>281</v>
      </c>
      <c r="J206" s="121" t="s">
        <v>22</v>
      </c>
      <c r="K206" s="158">
        <f>K207</f>
        <v>10</v>
      </c>
      <c r="L206" s="158">
        <f>L207</f>
        <v>10.25</v>
      </c>
      <c r="M206" s="122">
        <f>M207</f>
        <v>10.5</v>
      </c>
      <c r="N206" s="124"/>
      <c r="O206" s="125"/>
    </row>
    <row r="207" spans="2:15" s="123" customFormat="1" ht="47.25">
      <c r="B207" s="120" t="s">
        <v>23</v>
      </c>
      <c r="C207" s="121" t="s">
        <v>82</v>
      </c>
      <c r="D207" s="121" t="s">
        <v>75</v>
      </c>
      <c r="E207" s="121" t="s">
        <v>13</v>
      </c>
      <c r="F207" s="127" t="s">
        <v>246</v>
      </c>
      <c r="G207" s="127" t="s">
        <v>223</v>
      </c>
      <c r="H207" s="127" t="s">
        <v>201</v>
      </c>
      <c r="I207" s="127" t="s">
        <v>281</v>
      </c>
      <c r="J207" s="121" t="s">
        <v>24</v>
      </c>
      <c r="K207" s="158">
        <f>10</f>
        <v>10</v>
      </c>
      <c r="L207" s="158">
        <f>10*102.5%</f>
        <v>10.25</v>
      </c>
      <c r="M207" s="122">
        <f>10*105%</f>
        <v>10.5</v>
      </c>
      <c r="N207" s="124"/>
      <c r="O207" s="125"/>
    </row>
    <row r="208" spans="2:15" s="123" customFormat="1" ht="43.5" customHeight="1">
      <c r="B208" s="216" t="s">
        <v>77</v>
      </c>
      <c r="C208" s="121" t="s">
        <v>82</v>
      </c>
      <c r="D208" s="121" t="s">
        <v>75</v>
      </c>
      <c r="E208" s="121" t="s">
        <v>13</v>
      </c>
      <c r="F208" s="127" t="s">
        <v>246</v>
      </c>
      <c r="G208" s="127" t="s">
        <v>223</v>
      </c>
      <c r="H208" s="127" t="s">
        <v>201</v>
      </c>
      <c r="I208" s="127" t="s">
        <v>281</v>
      </c>
      <c r="J208" s="121" t="s">
        <v>78</v>
      </c>
      <c r="K208" s="158">
        <f>K209</f>
        <v>872</v>
      </c>
      <c r="L208" s="158">
        <f>L209</f>
        <v>893.8</v>
      </c>
      <c r="M208" s="122">
        <f>M209</f>
        <v>915.6</v>
      </c>
      <c r="N208" s="124"/>
      <c r="O208" s="125"/>
    </row>
    <row r="209" spans="2:15" s="123" customFormat="1" ht="47.25" customHeight="1">
      <c r="B209" s="128" t="s">
        <v>79</v>
      </c>
      <c r="C209" s="121" t="s">
        <v>82</v>
      </c>
      <c r="D209" s="121" t="s">
        <v>75</v>
      </c>
      <c r="E209" s="121" t="s">
        <v>13</v>
      </c>
      <c r="F209" s="127" t="s">
        <v>246</v>
      </c>
      <c r="G209" s="127" t="s">
        <v>223</v>
      </c>
      <c r="H209" s="127" t="s">
        <v>201</v>
      </c>
      <c r="I209" s="127" t="s">
        <v>281</v>
      </c>
      <c r="J209" s="121" t="s">
        <v>80</v>
      </c>
      <c r="K209" s="158">
        <f>872</f>
        <v>872</v>
      </c>
      <c r="L209" s="158">
        <f>872*102.5%</f>
        <v>893.8</v>
      </c>
      <c r="M209" s="122">
        <f>872*105%</f>
        <v>915.6</v>
      </c>
      <c r="N209" s="124"/>
      <c r="O209" s="125"/>
    </row>
    <row r="210" spans="2:15" s="117" customFormat="1" ht="17.25" customHeight="1">
      <c r="B210" s="114" t="s">
        <v>76</v>
      </c>
      <c r="C210" s="115" t="s">
        <v>82</v>
      </c>
      <c r="D210" s="115" t="s">
        <v>75</v>
      </c>
      <c r="E210" s="115" t="s">
        <v>39</v>
      </c>
      <c r="F210" s="115"/>
      <c r="G210" s="115"/>
      <c r="H210" s="115"/>
      <c r="I210" s="115"/>
      <c r="J210" s="115"/>
      <c r="K210" s="157">
        <f t="shared" ref="K210:M212" si="29">K211</f>
        <v>78.599999999999994</v>
      </c>
      <c r="L210" s="157">
        <f t="shared" si="29"/>
        <v>80.564999999999998</v>
      </c>
      <c r="M210" s="116">
        <f t="shared" si="29"/>
        <v>82.530000000000015</v>
      </c>
      <c r="N210" s="118"/>
      <c r="O210" s="119"/>
    </row>
    <row r="211" spans="2:15" s="123" customFormat="1" ht="47.25">
      <c r="B211" s="162" t="s">
        <v>245</v>
      </c>
      <c r="C211" s="121" t="s">
        <v>82</v>
      </c>
      <c r="D211" s="121" t="s">
        <v>75</v>
      </c>
      <c r="E211" s="121" t="s">
        <v>39</v>
      </c>
      <c r="F211" s="127" t="s">
        <v>246</v>
      </c>
      <c r="G211" s="127" t="s">
        <v>200</v>
      </c>
      <c r="H211" s="127" t="s">
        <v>201</v>
      </c>
      <c r="I211" s="127" t="s">
        <v>202</v>
      </c>
      <c r="J211" s="121"/>
      <c r="K211" s="160">
        <f t="shared" si="29"/>
        <v>78.599999999999994</v>
      </c>
      <c r="L211" s="160">
        <f t="shared" si="29"/>
        <v>80.564999999999998</v>
      </c>
      <c r="M211" s="136">
        <f t="shared" si="29"/>
        <v>82.530000000000015</v>
      </c>
      <c r="N211" s="124"/>
      <c r="O211" s="125"/>
    </row>
    <row r="212" spans="2:15" s="123" customFormat="1">
      <c r="B212" s="162" t="s">
        <v>76</v>
      </c>
      <c r="C212" s="121" t="s">
        <v>82</v>
      </c>
      <c r="D212" s="121" t="s">
        <v>75</v>
      </c>
      <c r="E212" s="121" t="s">
        <v>39</v>
      </c>
      <c r="F212" s="127" t="s">
        <v>246</v>
      </c>
      <c r="G212" s="127" t="s">
        <v>204</v>
      </c>
      <c r="H212" s="127" t="s">
        <v>201</v>
      </c>
      <c r="I212" s="127" t="s">
        <v>202</v>
      </c>
      <c r="J212" s="121"/>
      <c r="K212" s="160">
        <f t="shared" si="29"/>
        <v>78.599999999999994</v>
      </c>
      <c r="L212" s="160">
        <f t="shared" si="29"/>
        <v>80.564999999999998</v>
      </c>
      <c r="M212" s="136">
        <f t="shared" si="29"/>
        <v>82.530000000000015</v>
      </c>
      <c r="N212" s="124"/>
      <c r="O212" s="125"/>
    </row>
    <row r="213" spans="2:15" s="123" customFormat="1" ht="94.5">
      <c r="B213" s="162" t="s">
        <v>282</v>
      </c>
      <c r="C213" s="121" t="s">
        <v>82</v>
      </c>
      <c r="D213" s="121" t="s">
        <v>75</v>
      </c>
      <c r="E213" s="121" t="s">
        <v>39</v>
      </c>
      <c r="F213" s="127" t="s">
        <v>246</v>
      </c>
      <c r="G213" s="127" t="s">
        <v>204</v>
      </c>
      <c r="H213" s="127" t="s">
        <v>201</v>
      </c>
      <c r="I213" s="127" t="s">
        <v>283</v>
      </c>
      <c r="J213" s="121"/>
      <c r="K213" s="160">
        <f>K214+K216</f>
        <v>78.599999999999994</v>
      </c>
      <c r="L213" s="160">
        <f>L214+L216</f>
        <v>80.564999999999998</v>
      </c>
      <c r="M213" s="136">
        <f>M214+M216</f>
        <v>82.530000000000015</v>
      </c>
      <c r="N213" s="124"/>
      <c r="O213" s="125"/>
    </row>
    <row r="214" spans="2:15" s="123" customFormat="1" ht="47.25">
      <c r="B214" s="120" t="s">
        <v>206</v>
      </c>
      <c r="C214" s="121" t="s">
        <v>82</v>
      </c>
      <c r="D214" s="121" t="s">
        <v>75</v>
      </c>
      <c r="E214" s="121" t="s">
        <v>39</v>
      </c>
      <c r="F214" s="127" t="s">
        <v>246</v>
      </c>
      <c r="G214" s="127" t="s">
        <v>204</v>
      </c>
      <c r="H214" s="127" t="s">
        <v>201</v>
      </c>
      <c r="I214" s="127" t="s">
        <v>283</v>
      </c>
      <c r="J214" s="121" t="s">
        <v>22</v>
      </c>
      <c r="K214" s="160">
        <f>K215</f>
        <v>1.6</v>
      </c>
      <c r="L214" s="160">
        <f>L215</f>
        <v>1.64</v>
      </c>
      <c r="M214" s="136">
        <f>M215</f>
        <v>1.6800000000000002</v>
      </c>
      <c r="N214" s="124"/>
      <c r="O214" s="125"/>
    </row>
    <row r="215" spans="2:15" s="123" customFormat="1" ht="47.25">
      <c r="B215" s="120" t="s">
        <v>23</v>
      </c>
      <c r="C215" s="121" t="s">
        <v>82</v>
      </c>
      <c r="D215" s="121" t="s">
        <v>75</v>
      </c>
      <c r="E215" s="121" t="s">
        <v>39</v>
      </c>
      <c r="F215" s="127" t="s">
        <v>246</v>
      </c>
      <c r="G215" s="127" t="s">
        <v>204</v>
      </c>
      <c r="H215" s="127" t="s">
        <v>201</v>
      </c>
      <c r="I215" s="127" t="s">
        <v>283</v>
      </c>
      <c r="J215" s="121" t="s">
        <v>24</v>
      </c>
      <c r="K215" s="160">
        <f>1.6</f>
        <v>1.6</v>
      </c>
      <c r="L215" s="160">
        <f>1.6*102.5%</f>
        <v>1.64</v>
      </c>
      <c r="M215" s="136">
        <f>1.6*105%</f>
        <v>1.6800000000000002</v>
      </c>
      <c r="N215" s="124"/>
      <c r="O215" s="125"/>
    </row>
    <row r="216" spans="2:15" s="123" customFormat="1" ht="31.5">
      <c r="B216" s="128" t="s">
        <v>77</v>
      </c>
      <c r="C216" s="121" t="s">
        <v>82</v>
      </c>
      <c r="D216" s="121" t="s">
        <v>75</v>
      </c>
      <c r="E216" s="121" t="s">
        <v>39</v>
      </c>
      <c r="F216" s="127" t="s">
        <v>246</v>
      </c>
      <c r="G216" s="127" t="s">
        <v>204</v>
      </c>
      <c r="H216" s="127" t="s">
        <v>201</v>
      </c>
      <c r="I216" s="127" t="s">
        <v>283</v>
      </c>
      <c r="J216" s="121" t="s">
        <v>78</v>
      </c>
      <c r="K216" s="160">
        <f>K217</f>
        <v>77</v>
      </c>
      <c r="L216" s="160">
        <f>L217</f>
        <v>78.924999999999997</v>
      </c>
      <c r="M216" s="136">
        <f>M217</f>
        <v>80.850000000000009</v>
      </c>
      <c r="N216" s="124"/>
      <c r="O216" s="125"/>
    </row>
    <row r="217" spans="2:15" s="123" customFormat="1" ht="31.5">
      <c r="B217" s="128" t="s">
        <v>79</v>
      </c>
      <c r="C217" s="121" t="s">
        <v>82</v>
      </c>
      <c r="D217" s="121" t="s">
        <v>75</v>
      </c>
      <c r="E217" s="121" t="s">
        <v>39</v>
      </c>
      <c r="F217" s="127" t="s">
        <v>246</v>
      </c>
      <c r="G217" s="127" t="s">
        <v>204</v>
      </c>
      <c r="H217" s="127" t="s">
        <v>201</v>
      </c>
      <c r="I217" s="127" t="s">
        <v>283</v>
      </c>
      <c r="J217" s="121" t="s">
        <v>80</v>
      </c>
      <c r="K217" s="160">
        <f>77</f>
        <v>77</v>
      </c>
      <c r="L217" s="160">
        <f>77*102.5%</f>
        <v>78.924999999999997</v>
      </c>
      <c r="M217" s="136">
        <f>77*105%</f>
        <v>80.850000000000009</v>
      </c>
      <c r="N217" s="124"/>
      <c r="O217" s="125"/>
    </row>
    <row r="218" spans="2:15" s="117" customFormat="1">
      <c r="B218" s="114" t="s">
        <v>118</v>
      </c>
      <c r="C218" s="115" t="s">
        <v>82</v>
      </c>
      <c r="D218" s="115" t="s">
        <v>75</v>
      </c>
      <c r="E218" s="115" t="s">
        <v>62</v>
      </c>
      <c r="F218" s="115"/>
      <c r="G218" s="115"/>
      <c r="H218" s="115"/>
      <c r="I218" s="115"/>
      <c r="J218" s="115"/>
      <c r="K218" s="161">
        <f t="shared" ref="K218:M222" si="30">K219</f>
        <v>56.2</v>
      </c>
      <c r="L218" s="161">
        <f t="shared" si="30"/>
        <v>56.2</v>
      </c>
      <c r="M218" s="137">
        <f t="shared" si="30"/>
        <v>56.2</v>
      </c>
      <c r="N218" s="118"/>
      <c r="O218" s="119"/>
    </row>
    <row r="219" spans="2:15" s="123" customFormat="1" ht="31.5">
      <c r="B219" s="162" t="s">
        <v>198</v>
      </c>
      <c r="C219" s="121" t="s">
        <v>82</v>
      </c>
      <c r="D219" s="121" t="s">
        <v>75</v>
      </c>
      <c r="E219" s="121" t="s">
        <v>62</v>
      </c>
      <c r="F219" s="127" t="s">
        <v>199</v>
      </c>
      <c r="G219" s="127" t="s">
        <v>200</v>
      </c>
      <c r="H219" s="127" t="s">
        <v>201</v>
      </c>
      <c r="I219" s="127" t="s">
        <v>202</v>
      </c>
      <c r="J219" s="121"/>
      <c r="K219" s="160">
        <f t="shared" si="30"/>
        <v>56.2</v>
      </c>
      <c r="L219" s="160">
        <f t="shared" si="30"/>
        <v>56.2</v>
      </c>
      <c r="M219" s="136">
        <f t="shared" si="30"/>
        <v>56.2</v>
      </c>
      <c r="N219" s="124"/>
      <c r="O219" s="125"/>
    </row>
    <row r="220" spans="2:15" s="123" customFormat="1" ht="47.25">
      <c r="B220" s="162" t="s">
        <v>230</v>
      </c>
      <c r="C220" s="121" t="s">
        <v>82</v>
      </c>
      <c r="D220" s="121" t="s">
        <v>75</v>
      </c>
      <c r="E220" s="121" t="s">
        <v>62</v>
      </c>
      <c r="F220" s="127" t="s">
        <v>199</v>
      </c>
      <c r="G220" s="127" t="s">
        <v>6</v>
      </c>
      <c r="H220" s="127" t="s">
        <v>201</v>
      </c>
      <c r="I220" s="127" t="s">
        <v>202</v>
      </c>
      <c r="J220" s="121"/>
      <c r="K220" s="160">
        <f t="shared" si="30"/>
        <v>56.2</v>
      </c>
      <c r="L220" s="160">
        <f t="shared" si="30"/>
        <v>56.2</v>
      </c>
      <c r="M220" s="136">
        <f t="shared" si="30"/>
        <v>56.2</v>
      </c>
      <c r="N220" s="124"/>
      <c r="O220" s="125"/>
    </row>
    <row r="221" spans="2:15" s="123" customFormat="1" ht="126">
      <c r="B221" s="120" t="s">
        <v>284</v>
      </c>
      <c r="C221" s="121" t="s">
        <v>82</v>
      </c>
      <c r="D221" s="121" t="s">
        <v>75</v>
      </c>
      <c r="E221" s="121" t="s">
        <v>62</v>
      </c>
      <c r="F221" s="127" t="s">
        <v>199</v>
      </c>
      <c r="G221" s="127" t="s">
        <v>6</v>
      </c>
      <c r="H221" s="127" t="s">
        <v>201</v>
      </c>
      <c r="I221" s="127" t="s">
        <v>285</v>
      </c>
      <c r="J221" s="121"/>
      <c r="K221" s="158">
        <f t="shared" si="30"/>
        <v>56.2</v>
      </c>
      <c r="L221" s="158">
        <f t="shared" si="30"/>
        <v>56.2</v>
      </c>
      <c r="M221" s="122">
        <f t="shared" si="30"/>
        <v>56.2</v>
      </c>
      <c r="N221" s="124"/>
      <c r="O221" s="125"/>
    </row>
    <row r="222" spans="2:15" s="123" customFormat="1" ht="47.25">
      <c r="B222" s="120" t="s">
        <v>206</v>
      </c>
      <c r="C222" s="121" t="s">
        <v>82</v>
      </c>
      <c r="D222" s="121" t="s">
        <v>75</v>
      </c>
      <c r="E222" s="121" t="s">
        <v>62</v>
      </c>
      <c r="F222" s="127" t="s">
        <v>199</v>
      </c>
      <c r="G222" s="127" t="s">
        <v>6</v>
      </c>
      <c r="H222" s="127" t="s">
        <v>201</v>
      </c>
      <c r="I222" s="127" t="s">
        <v>285</v>
      </c>
      <c r="J222" s="121" t="s">
        <v>22</v>
      </c>
      <c r="K222" s="158">
        <f t="shared" si="30"/>
        <v>56.2</v>
      </c>
      <c r="L222" s="158">
        <f t="shared" si="30"/>
        <v>56.2</v>
      </c>
      <c r="M222" s="122">
        <f t="shared" si="30"/>
        <v>56.2</v>
      </c>
      <c r="N222" s="124"/>
      <c r="O222" s="125"/>
    </row>
    <row r="223" spans="2:15" s="123" customFormat="1" ht="47.25">
      <c r="B223" s="120" t="s">
        <v>23</v>
      </c>
      <c r="C223" s="121" t="s">
        <v>82</v>
      </c>
      <c r="D223" s="121" t="s">
        <v>75</v>
      </c>
      <c r="E223" s="121" t="s">
        <v>62</v>
      </c>
      <c r="F223" s="127" t="s">
        <v>199</v>
      </c>
      <c r="G223" s="127" t="s">
        <v>6</v>
      </c>
      <c r="H223" s="127" t="s">
        <v>201</v>
      </c>
      <c r="I223" s="127" t="s">
        <v>285</v>
      </c>
      <c r="J223" s="121" t="s">
        <v>24</v>
      </c>
      <c r="K223" s="158">
        <f>56.2</f>
        <v>56.2</v>
      </c>
      <c r="L223" s="158">
        <f>56.2</f>
        <v>56.2</v>
      </c>
      <c r="M223" s="122">
        <f>56.2</f>
        <v>56.2</v>
      </c>
      <c r="N223" s="124"/>
      <c r="O223" s="125"/>
    </row>
    <row r="224" spans="2:15" s="117" customFormat="1">
      <c r="B224" s="114" t="s">
        <v>100</v>
      </c>
      <c r="C224" s="115" t="s">
        <v>82</v>
      </c>
      <c r="D224" s="115" t="s">
        <v>64</v>
      </c>
      <c r="E224" s="115"/>
      <c r="F224" s="115"/>
      <c r="G224" s="115"/>
      <c r="H224" s="115"/>
      <c r="I224" s="115"/>
      <c r="J224" s="115"/>
      <c r="K224" s="157">
        <f t="shared" ref="K224:M229" si="31">K225</f>
        <v>250</v>
      </c>
      <c r="L224" s="157">
        <f t="shared" si="31"/>
        <v>256.25</v>
      </c>
      <c r="M224" s="116">
        <f t="shared" si="31"/>
        <v>262.5</v>
      </c>
      <c r="N224" s="118"/>
      <c r="O224" s="119"/>
    </row>
    <row r="225" spans="2:15" s="117" customFormat="1">
      <c r="B225" s="114" t="s">
        <v>101</v>
      </c>
      <c r="C225" s="115" t="s">
        <v>82</v>
      </c>
      <c r="D225" s="115" t="s">
        <v>64</v>
      </c>
      <c r="E225" s="115" t="s">
        <v>38</v>
      </c>
      <c r="F225" s="115"/>
      <c r="G225" s="115"/>
      <c r="H225" s="115"/>
      <c r="I225" s="115"/>
      <c r="J225" s="115"/>
      <c r="K225" s="157">
        <f t="shared" si="31"/>
        <v>250</v>
      </c>
      <c r="L225" s="157">
        <f t="shared" si="31"/>
        <v>256.25</v>
      </c>
      <c r="M225" s="116">
        <f t="shared" si="31"/>
        <v>262.5</v>
      </c>
      <c r="N225" s="118"/>
      <c r="O225" s="119"/>
    </row>
    <row r="226" spans="2:15" s="123" customFormat="1" ht="31.5">
      <c r="B226" s="162" t="s">
        <v>198</v>
      </c>
      <c r="C226" s="121" t="s">
        <v>82</v>
      </c>
      <c r="D226" s="121" t="s">
        <v>64</v>
      </c>
      <c r="E226" s="121" t="s">
        <v>38</v>
      </c>
      <c r="F226" s="127" t="s">
        <v>199</v>
      </c>
      <c r="G226" s="127" t="s">
        <v>200</v>
      </c>
      <c r="H226" s="127" t="s">
        <v>201</v>
      </c>
      <c r="I226" s="127" t="s">
        <v>202</v>
      </c>
      <c r="J226" s="121"/>
      <c r="K226" s="158">
        <f t="shared" si="31"/>
        <v>250</v>
      </c>
      <c r="L226" s="158">
        <f t="shared" si="31"/>
        <v>256.25</v>
      </c>
      <c r="M226" s="122">
        <f t="shared" si="31"/>
        <v>262.5</v>
      </c>
      <c r="N226" s="124"/>
      <c r="O226" s="125"/>
    </row>
    <row r="227" spans="2:15" s="123" customFormat="1" ht="47.25">
      <c r="B227" s="162" t="s">
        <v>44</v>
      </c>
      <c r="C227" s="121" t="s">
        <v>82</v>
      </c>
      <c r="D227" s="121" t="s">
        <v>64</v>
      </c>
      <c r="E227" s="121" t="s">
        <v>38</v>
      </c>
      <c r="F227" s="127" t="s">
        <v>199</v>
      </c>
      <c r="G227" s="127" t="s">
        <v>7</v>
      </c>
      <c r="H227" s="127" t="s">
        <v>201</v>
      </c>
      <c r="I227" s="127" t="s">
        <v>202</v>
      </c>
      <c r="J227" s="121"/>
      <c r="K227" s="158">
        <f t="shared" si="31"/>
        <v>250</v>
      </c>
      <c r="L227" s="158">
        <f t="shared" si="31"/>
        <v>256.25</v>
      </c>
      <c r="M227" s="122">
        <f t="shared" si="31"/>
        <v>262.5</v>
      </c>
      <c r="N227" s="124"/>
      <c r="O227" s="125"/>
    </row>
    <row r="228" spans="2:15" s="123" customFormat="1" ht="31.5">
      <c r="B228" s="162" t="s">
        <v>286</v>
      </c>
      <c r="C228" s="121" t="s">
        <v>82</v>
      </c>
      <c r="D228" s="121" t="s">
        <v>64</v>
      </c>
      <c r="E228" s="121" t="s">
        <v>38</v>
      </c>
      <c r="F228" s="127" t="s">
        <v>199</v>
      </c>
      <c r="G228" s="127" t="s">
        <v>7</v>
      </c>
      <c r="H228" s="127" t="s">
        <v>201</v>
      </c>
      <c r="I228" s="127" t="s">
        <v>287</v>
      </c>
      <c r="J228" s="121"/>
      <c r="K228" s="158">
        <f t="shared" si="31"/>
        <v>250</v>
      </c>
      <c r="L228" s="158">
        <f t="shared" si="31"/>
        <v>256.25</v>
      </c>
      <c r="M228" s="122">
        <f t="shared" si="31"/>
        <v>262.5</v>
      </c>
      <c r="N228" s="124"/>
      <c r="O228" s="125"/>
    </row>
    <row r="229" spans="2:15" s="123" customFormat="1">
      <c r="B229" s="120" t="s">
        <v>25</v>
      </c>
      <c r="C229" s="121" t="s">
        <v>82</v>
      </c>
      <c r="D229" s="121" t="s">
        <v>64</v>
      </c>
      <c r="E229" s="121" t="s">
        <v>38</v>
      </c>
      <c r="F229" s="127" t="s">
        <v>199</v>
      </c>
      <c r="G229" s="127" t="s">
        <v>7</v>
      </c>
      <c r="H229" s="127" t="s">
        <v>201</v>
      </c>
      <c r="I229" s="127" t="s">
        <v>287</v>
      </c>
      <c r="J229" s="121" t="s">
        <v>26</v>
      </c>
      <c r="K229" s="160">
        <f t="shared" si="31"/>
        <v>250</v>
      </c>
      <c r="L229" s="160">
        <f t="shared" si="31"/>
        <v>256.25</v>
      </c>
      <c r="M229" s="136">
        <f t="shared" si="31"/>
        <v>262.5</v>
      </c>
      <c r="N229" s="124"/>
      <c r="O229" s="125"/>
    </row>
    <row r="230" spans="2:15" s="123" customFormat="1" ht="63">
      <c r="B230" s="128" t="s">
        <v>94</v>
      </c>
      <c r="C230" s="121" t="s">
        <v>82</v>
      </c>
      <c r="D230" s="121" t="s">
        <v>64</v>
      </c>
      <c r="E230" s="121" t="s">
        <v>38</v>
      </c>
      <c r="F230" s="127" t="s">
        <v>199</v>
      </c>
      <c r="G230" s="127" t="s">
        <v>7</v>
      </c>
      <c r="H230" s="127" t="s">
        <v>201</v>
      </c>
      <c r="I230" s="127" t="s">
        <v>287</v>
      </c>
      <c r="J230" s="121" t="s">
        <v>95</v>
      </c>
      <c r="K230" s="160">
        <f>250</f>
        <v>250</v>
      </c>
      <c r="L230" s="160">
        <f>250*102.5%</f>
        <v>256.25</v>
      </c>
      <c r="M230" s="136">
        <f>250*105%</f>
        <v>262.5</v>
      </c>
      <c r="N230" s="124"/>
      <c r="O230" s="125"/>
    </row>
    <row r="231" spans="2:15" s="117" customFormat="1" ht="47.25">
      <c r="B231" s="132" t="s">
        <v>288</v>
      </c>
      <c r="C231" s="115" t="s">
        <v>82</v>
      </c>
      <c r="D231" s="115"/>
      <c r="E231" s="115"/>
      <c r="F231" s="115"/>
      <c r="G231" s="115"/>
      <c r="H231" s="115"/>
      <c r="I231" s="115"/>
      <c r="J231" s="115"/>
      <c r="K231" s="161">
        <f t="shared" ref="K231:M234" si="32">K232</f>
        <v>627</v>
      </c>
      <c r="L231" s="161">
        <f t="shared" si="32"/>
        <v>642.67499999999995</v>
      </c>
      <c r="M231" s="137">
        <f t="shared" si="32"/>
        <v>643.35</v>
      </c>
      <c r="N231" s="118"/>
      <c r="O231" s="119"/>
    </row>
    <row r="232" spans="2:15" s="117" customFormat="1">
      <c r="B232" s="114" t="s">
        <v>12</v>
      </c>
      <c r="C232" s="115" t="s">
        <v>82</v>
      </c>
      <c r="D232" s="115" t="s">
        <v>13</v>
      </c>
      <c r="E232" s="115"/>
      <c r="F232" s="115"/>
      <c r="G232" s="115"/>
      <c r="H232" s="115"/>
      <c r="I232" s="115"/>
      <c r="J232" s="115"/>
      <c r="K232" s="161">
        <f t="shared" si="32"/>
        <v>627</v>
      </c>
      <c r="L232" s="161">
        <f t="shared" si="32"/>
        <v>642.67499999999995</v>
      </c>
      <c r="M232" s="137">
        <f t="shared" si="32"/>
        <v>643.35</v>
      </c>
      <c r="N232" s="118"/>
      <c r="O232" s="119"/>
    </row>
    <row r="233" spans="2:15" s="117" customFormat="1" ht="63">
      <c r="B233" s="114" t="s">
        <v>14</v>
      </c>
      <c r="C233" s="115" t="s">
        <v>82</v>
      </c>
      <c r="D233" s="115" t="s">
        <v>13</v>
      </c>
      <c r="E233" s="115" t="s">
        <v>15</v>
      </c>
      <c r="F233" s="115"/>
      <c r="G233" s="115"/>
      <c r="H233" s="115"/>
      <c r="I233" s="115"/>
      <c r="J233" s="115"/>
      <c r="K233" s="157">
        <f t="shared" si="32"/>
        <v>627</v>
      </c>
      <c r="L233" s="157">
        <f t="shared" si="32"/>
        <v>642.67499999999995</v>
      </c>
      <c r="M233" s="116">
        <f t="shared" si="32"/>
        <v>643.35</v>
      </c>
      <c r="N233" s="118"/>
      <c r="O233" s="119"/>
    </row>
    <row r="234" spans="2:15" s="123" customFormat="1" ht="31.5">
      <c r="B234" s="162" t="s">
        <v>198</v>
      </c>
      <c r="C234" s="121" t="s">
        <v>82</v>
      </c>
      <c r="D234" s="121" t="s">
        <v>13</v>
      </c>
      <c r="E234" s="121" t="s">
        <v>15</v>
      </c>
      <c r="F234" s="127" t="s">
        <v>199</v>
      </c>
      <c r="G234" s="127" t="s">
        <v>200</v>
      </c>
      <c r="H234" s="127" t="s">
        <v>201</v>
      </c>
      <c r="I234" s="127" t="s">
        <v>202</v>
      </c>
      <c r="J234" s="121"/>
      <c r="K234" s="158">
        <f t="shared" si="32"/>
        <v>627</v>
      </c>
      <c r="L234" s="158">
        <f t="shared" si="32"/>
        <v>642.67499999999995</v>
      </c>
      <c r="M234" s="122">
        <f t="shared" si="32"/>
        <v>643.35</v>
      </c>
      <c r="N234" s="124"/>
      <c r="O234" s="125"/>
    </row>
    <row r="235" spans="2:15" s="123" customFormat="1" ht="47.25">
      <c r="B235" s="162" t="s">
        <v>203</v>
      </c>
      <c r="C235" s="121" t="s">
        <v>82</v>
      </c>
      <c r="D235" s="121" t="s">
        <v>13</v>
      </c>
      <c r="E235" s="121" t="s">
        <v>15</v>
      </c>
      <c r="F235" s="127" t="s">
        <v>199</v>
      </c>
      <c r="G235" s="127" t="s">
        <v>204</v>
      </c>
      <c r="H235" s="127" t="s">
        <v>201</v>
      </c>
      <c r="I235" s="127" t="s">
        <v>202</v>
      </c>
      <c r="J235" s="121"/>
      <c r="K235" s="158">
        <f>K236+K239</f>
        <v>627</v>
      </c>
      <c r="L235" s="158">
        <f>L236+L239</f>
        <v>642.67499999999995</v>
      </c>
      <c r="M235" s="122">
        <f>M236+M239</f>
        <v>643.35</v>
      </c>
      <c r="N235" s="124"/>
      <c r="O235" s="125"/>
    </row>
    <row r="236" spans="2:15" s="123" customFormat="1" ht="63">
      <c r="B236" s="162" t="s">
        <v>289</v>
      </c>
      <c r="C236" s="121" t="s">
        <v>82</v>
      </c>
      <c r="D236" s="121" t="s">
        <v>13</v>
      </c>
      <c r="E236" s="121" t="s">
        <v>15</v>
      </c>
      <c r="F236" s="127" t="s">
        <v>199</v>
      </c>
      <c r="G236" s="127" t="s">
        <v>204</v>
      </c>
      <c r="H236" s="127" t="s">
        <v>201</v>
      </c>
      <c r="I236" s="127" t="s">
        <v>290</v>
      </c>
      <c r="J236" s="121"/>
      <c r="K236" s="158">
        <f t="shared" ref="K236:M237" si="33">K237</f>
        <v>300</v>
      </c>
      <c r="L236" s="158">
        <f t="shared" si="33"/>
        <v>307.5</v>
      </c>
      <c r="M236" s="122">
        <f t="shared" si="33"/>
        <v>300</v>
      </c>
      <c r="N236" s="124"/>
      <c r="O236" s="125"/>
    </row>
    <row r="237" spans="2:15" s="123" customFormat="1" ht="94.5">
      <c r="B237" s="120" t="s">
        <v>17</v>
      </c>
      <c r="C237" s="121" t="s">
        <v>82</v>
      </c>
      <c r="D237" s="121" t="s">
        <v>13</v>
      </c>
      <c r="E237" s="121" t="s">
        <v>15</v>
      </c>
      <c r="F237" s="127" t="s">
        <v>199</v>
      </c>
      <c r="G237" s="127" t="s">
        <v>204</v>
      </c>
      <c r="H237" s="127" t="s">
        <v>201</v>
      </c>
      <c r="I237" s="127" t="s">
        <v>290</v>
      </c>
      <c r="J237" s="121" t="s">
        <v>18</v>
      </c>
      <c r="K237" s="158">
        <f t="shared" si="33"/>
        <v>300</v>
      </c>
      <c r="L237" s="158">
        <f t="shared" si="33"/>
        <v>307.5</v>
      </c>
      <c r="M237" s="122">
        <f t="shared" si="33"/>
        <v>300</v>
      </c>
      <c r="N237" s="124"/>
      <c r="O237" s="125"/>
    </row>
    <row r="238" spans="2:15" s="123" customFormat="1" ht="31.5">
      <c r="B238" s="120" t="s">
        <v>19</v>
      </c>
      <c r="C238" s="121" t="s">
        <v>82</v>
      </c>
      <c r="D238" s="121" t="s">
        <v>13</v>
      </c>
      <c r="E238" s="121" t="s">
        <v>15</v>
      </c>
      <c r="F238" s="127" t="s">
        <v>199</v>
      </c>
      <c r="G238" s="127" t="s">
        <v>204</v>
      </c>
      <c r="H238" s="127" t="s">
        <v>201</v>
      </c>
      <c r="I238" s="127" t="s">
        <v>290</v>
      </c>
      <c r="J238" s="121" t="s">
        <v>20</v>
      </c>
      <c r="K238" s="158">
        <f>300</f>
        <v>300</v>
      </c>
      <c r="L238" s="158">
        <f>300*102.5%</f>
        <v>307.5</v>
      </c>
      <c r="M238" s="122">
        <f>300</f>
        <v>300</v>
      </c>
      <c r="N238" s="124"/>
      <c r="O238" s="125"/>
    </row>
    <row r="239" spans="2:15" s="123" customFormat="1" ht="31.5">
      <c r="B239" s="162" t="s">
        <v>16</v>
      </c>
      <c r="C239" s="121" t="s">
        <v>82</v>
      </c>
      <c r="D239" s="121" t="s">
        <v>13</v>
      </c>
      <c r="E239" s="121" t="s">
        <v>15</v>
      </c>
      <c r="F239" s="127" t="s">
        <v>199</v>
      </c>
      <c r="G239" s="127" t="s">
        <v>204</v>
      </c>
      <c r="H239" s="127" t="s">
        <v>201</v>
      </c>
      <c r="I239" s="127" t="s">
        <v>205</v>
      </c>
      <c r="J239" s="121"/>
      <c r="K239" s="158">
        <f>K240+K242</f>
        <v>327</v>
      </c>
      <c r="L239" s="158">
        <f>L240+L242</f>
        <v>335.17499999999995</v>
      </c>
      <c r="M239" s="122">
        <f>M240+M242</f>
        <v>343.35</v>
      </c>
      <c r="N239" s="124"/>
      <c r="O239" s="125"/>
    </row>
    <row r="240" spans="2:15" s="123" customFormat="1" ht="94.5">
      <c r="B240" s="120" t="s">
        <v>17</v>
      </c>
      <c r="C240" s="121" t="s">
        <v>82</v>
      </c>
      <c r="D240" s="121" t="s">
        <v>13</v>
      </c>
      <c r="E240" s="121" t="s">
        <v>15</v>
      </c>
      <c r="F240" s="127" t="s">
        <v>199</v>
      </c>
      <c r="G240" s="127" t="s">
        <v>204</v>
      </c>
      <c r="H240" s="127" t="s">
        <v>201</v>
      </c>
      <c r="I240" s="127" t="s">
        <v>205</v>
      </c>
      <c r="J240" s="121" t="s">
        <v>18</v>
      </c>
      <c r="K240" s="158">
        <f>K241</f>
        <v>307</v>
      </c>
      <c r="L240" s="158">
        <f>L241</f>
        <v>314.67499999999995</v>
      </c>
      <c r="M240" s="122">
        <f>M241</f>
        <v>322.35000000000002</v>
      </c>
      <c r="N240" s="124"/>
      <c r="O240" s="125"/>
    </row>
    <row r="241" spans="2:15" s="123" customFormat="1" ht="31.5">
      <c r="B241" s="120" t="s">
        <v>19</v>
      </c>
      <c r="C241" s="121" t="s">
        <v>82</v>
      </c>
      <c r="D241" s="121" t="s">
        <v>13</v>
      </c>
      <c r="E241" s="121" t="s">
        <v>15</v>
      </c>
      <c r="F241" s="127" t="s">
        <v>199</v>
      </c>
      <c r="G241" s="127" t="s">
        <v>204</v>
      </c>
      <c r="H241" s="127" t="s">
        <v>201</v>
      </c>
      <c r="I241" s="127" t="s">
        <v>205</v>
      </c>
      <c r="J241" s="121" t="s">
        <v>20</v>
      </c>
      <c r="K241" s="158">
        <f>372-65</f>
        <v>307</v>
      </c>
      <c r="L241" s="158">
        <f>(372-65)*102.5%</f>
        <v>314.67499999999995</v>
      </c>
      <c r="M241" s="122">
        <f>(372-65)*105%</f>
        <v>322.35000000000002</v>
      </c>
      <c r="N241" s="124"/>
      <c r="O241" s="125"/>
    </row>
    <row r="242" spans="2:15" s="123" customFormat="1" ht="47.25">
      <c r="B242" s="120" t="s">
        <v>206</v>
      </c>
      <c r="C242" s="121" t="s">
        <v>82</v>
      </c>
      <c r="D242" s="121" t="s">
        <v>13</v>
      </c>
      <c r="E242" s="121" t="s">
        <v>15</v>
      </c>
      <c r="F242" s="127" t="s">
        <v>199</v>
      </c>
      <c r="G242" s="127" t="s">
        <v>204</v>
      </c>
      <c r="H242" s="127" t="s">
        <v>201</v>
      </c>
      <c r="I242" s="127" t="s">
        <v>205</v>
      </c>
      <c r="J242" s="121" t="s">
        <v>22</v>
      </c>
      <c r="K242" s="158">
        <f>K243</f>
        <v>20</v>
      </c>
      <c r="L242" s="158">
        <f>L243</f>
        <v>20.5</v>
      </c>
      <c r="M242" s="122">
        <f>M243</f>
        <v>21</v>
      </c>
      <c r="N242" s="124"/>
      <c r="O242" s="125"/>
    </row>
    <row r="243" spans="2:15" s="123" customFormat="1" ht="47.25">
      <c r="B243" s="120" t="s">
        <v>23</v>
      </c>
      <c r="C243" s="121" t="s">
        <v>82</v>
      </c>
      <c r="D243" s="121" t="s">
        <v>13</v>
      </c>
      <c r="E243" s="121" t="s">
        <v>15</v>
      </c>
      <c r="F243" s="127" t="s">
        <v>199</v>
      </c>
      <c r="G243" s="127" t="s">
        <v>204</v>
      </c>
      <c r="H243" s="127" t="s">
        <v>201</v>
      </c>
      <c r="I243" s="127" t="s">
        <v>205</v>
      </c>
      <c r="J243" s="121" t="s">
        <v>24</v>
      </c>
      <c r="K243" s="158">
        <f>2+18</f>
        <v>20</v>
      </c>
      <c r="L243" s="158">
        <f>(2+18)*102.5%</f>
        <v>20.5</v>
      </c>
      <c r="M243" s="122">
        <f>(2+18)*105%</f>
        <v>21</v>
      </c>
      <c r="N243" s="124"/>
      <c r="O243" s="125"/>
    </row>
    <row r="244" spans="2:15" s="123" customFormat="1" ht="31.5">
      <c r="B244" s="114" t="s">
        <v>291</v>
      </c>
      <c r="C244" s="115" t="s">
        <v>82</v>
      </c>
      <c r="D244" s="115"/>
      <c r="E244" s="115"/>
      <c r="F244" s="115"/>
      <c r="G244" s="115"/>
      <c r="H244" s="115"/>
      <c r="I244" s="115"/>
      <c r="J244" s="115"/>
      <c r="K244" s="157">
        <f t="shared" ref="K244:M248" si="34">K245</f>
        <v>5656.7000000000007</v>
      </c>
      <c r="L244" s="157">
        <f t="shared" si="34"/>
        <v>5798.1174999999994</v>
      </c>
      <c r="M244" s="116">
        <f t="shared" si="34"/>
        <v>5939.5349999999999</v>
      </c>
      <c r="N244" s="124"/>
      <c r="O244" s="125"/>
    </row>
    <row r="245" spans="2:15" s="123" customFormat="1">
      <c r="B245" s="114" t="s">
        <v>12</v>
      </c>
      <c r="C245" s="115" t="s">
        <v>82</v>
      </c>
      <c r="D245" s="115" t="s">
        <v>13</v>
      </c>
      <c r="E245" s="115"/>
      <c r="F245" s="115"/>
      <c r="G245" s="115"/>
      <c r="H245" s="115"/>
      <c r="I245" s="115"/>
      <c r="J245" s="115"/>
      <c r="K245" s="157">
        <f t="shared" si="34"/>
        <v>5656.7000000000007</v>
      </c>
      <c r="L245" s="157">
        <f t="shared" si="34"/>
        <v>5798.1174999999994</v>
      </c>
      <c r="M245" s="116">
        <f t="shared" si="34"/>
        <v>5939.5349999999999</v>
      </c>
      <c r="N245" s="124"/>
      <c r="O245" s="125"/>
    </row>
    <row r="246" spans="2:15" s="123" customFormat="1">
      <c r="B246" s="114" t="s">
        <v>33</v>
      </c>
      <c r="C246" s="115" t="s">
        <v>82</v>
      </c>
      <c r="D246" s="115" t="s">
        <v>13</v>
      </c>
      <c r="E246" s="115" t="s">
        <v>34</v>
      </c>
      <c r="F246" s="115"/>
      <c r="G246" s="115"/>
      <c r="H246" s="115"/>
      <c r="I246" s="115"/>
      <c r="J246" s="115"/>
      <c r="K246" s="157">
        <f t="shared" si="34"/>
        <v>5656.7000000000007</v>
      </c>
      <c r="L246" s="157">
        <f t="shared" si="34"/>
        <v>5798.1174999999994</v>
      </c>
      <c r="M246" s="116">
        <f t="shared" si="34"/>
        <v>5939.5349999999999</v>
      </c>
      <c r="N246" s="124"/>
      <c r="O246" s="125"/>
    </row>
    <row r="247" spans="2:15" s="123" customFormat="1" ht="47.25">
      <c r="B247" s="162" t="s">
        <v>292</v>
      </c>
      <c r="C247" s="121" t="s">
        <v>82</v>
      </c>
      <c r="D247" s="121" t="s">
        <v>13</v>
      </c>
      <c r="E247" s="121" t="s">
        <v>34</v>
      </c>
      <c r="F247" s="127" t="s">
        <v>293</v>
      </c>
      <c r="G247" s="127" t="s">
        <v>200</v>
      </c>
      <c r="H247" s="127" t="s">
        <v>201</v>
      </c>
      <c r="I247" s="127" t="s">
        <v>202</v>
      </c>
      <c r="J247" s="121"/>
      <c r="K247" s="158">
        <f t="shared" si="34"/>
        <v>5656.7000000000007</v>
      </c>
      <c r="L247" s="158">
        <f t="shared" si="34"/>
        <v>5798.1174999999994</v>
      </c>
      <c r="M247" s="122">
        <f t="shared" si="34"/>
        <v>5939.5349999999999</v>
      </c>
      <c r="N247" s="124"/>
      <c r="O247" s="125"/>
    </row>
    <row r="248" spans="2:15" s="123" customFormat="1" ht="63">
      <c r="B248" s="162" t="s">
        <v>294</v>
      </c>
      <c r="C248" s="121" t="s">
        <v>82</v>
      </c>
      <c r="D248" s="121" t="s">
        <v>13</v>
      </c>
      <c r="E248" s="121" t="s">
        <v>34</v>
      </c>
      <c r="F248" s="127" t="s">
        <v>293</v>
      </c>
      <c r="G248" s="127" t="s">
        <v>212</v>
      </c>
      <c r="H248" s="127" t="s">
        <v>201</v>
      </c>
      <c r="I248" s="127" t="s">
        <v>202</v>
      </c>
      <c r="J248" s="121"/>
      <c r="K248" s="158">
        <f t="shared" si="34"/>
        <v>5656.7000000000007</v>
      </c>
      <c r="L248" s="158">
        <f t="shared" si="34"/>
        <v>5798.1174999999994</v>
      </c>
      <c r="M248" s="122">
        <f t="shared" si="34"/>
        <v>5939.5349999999999</v>
      </c>
      <c r="N248" s="124"/>
      <c r="O248" s="125"/>
    </row>
    <row r="249" spans="2:15" s="123" customFormat="1" ht="31.5">
      <c r="B249" s="162" t="s">
        <v>295</v>
      </c>
      <c r="C249" s="121" t="s">
        <v>82</v>
      </c>
      <c r="D249" s="121" t="s">
        <v>13</v>
      </c>
      <c r="E249" s="121" t="s">
        <v>34</v>
      </c>
      <c r="F249" s="127" t="s">
        <v>293</v>
      </c>
      <c r="G249" s="127" t="s">
        <v>212</v>
      </c>
      <c r="H249" s="127" t="s">
        <v>201</v>
      </c>
      <c r="I249" s="127" t="s">
        <v>296</v>
      </c>
      <c r="J249" s="121"/>
      <c r="K249" s="158">
        <f>K250+K252+K254</f>
        <v>5656.7000000000007</v>
      </c>
      <c r="L249" s="158">
        <f>L250+L252+L254</f>
        <v>5798.1174999999994</v>
      </c>
      <c r="M249" s="122">
        <f>M250+M252+M254</f>
        <v>5939.5349999999999</v>
      </c>
      <c r="N249" s="124"/>
      <c r="O249" s="125"/>
    </row>
    <row r="250" spans="2:15" s="123" customFormat="1" ht="94.5">
      <c r="B250" s="120" t="s">
        <v>17</v>
      </c>
      <c r="C250" s="121" t="s">
        <v>82</v>
      </c>
      <c r="D250" s="121" t="s">
        <v>13</v>
      </c>
      <c r="E250" s="121" t="s">
        <v>34</v>
      </c>
      <c r="F250" s="127" t="s">
        <v>293</v>
      </c>
      <c r="G250" s="127" t="s">
        <v>212</v>
      </c>
      <c r="H250" s="127" t="s">
        <v>201</v>
      </c>
      <c r="I250" s="127" t="s">
        <v>296</v>
      </c>
      <c r="J250" s="121" t="s">
        <v>18</v>
      </c>
      <c r="K250" s="158">
        <f>K251</f>
        <v>3855.6</v>
      </c>
      <c r="L250" s="158">
        <f>L251</f>
        <v>3951.99</v>
      </c>
      <c r="M250" s="122">
        <f>M251</f>
        <v>4048.38</v>
      </c>
      <c r="N250" s="124"/>
      <c r="O250" s="125"/>
    </row>
    <row r="251" spans="2:15" s="123" customFormat="1" ht="31.5">
      <c r="B251" s="128" t="s">
        <v>102</v>
      </c>
      <c r="C251" s="121" t="s">
        <v>82</v>
      </c>
      <c r="D251" s="121" t="s">
        <v>13</v>
      </c>
      <c r="E251" s="121" t="s">
        <v>34</v>
      </c>
      <c r="F251" s="127" t="s">
        <v>293</v>
      </c>
      <c r="G251" s="127" t="s">
        <v>212</v>
      </c>
      <c r="H251" s="127" t="s">
        <v>201</v>
      </c>
      <c r="I251" s="127" t="s">
        <v>296</v>
      </c>
      <c r="J251" s="121" t="s">
        <v>103</v>
      </c>
      <c r="K251" s="158">
        <f>(3854.6+1)</f>
        <v>3855.6</v>
      </c>
      <c r="L251" s="158">
        <f>(3854.6+1)*102.5%</f>
        <v>3951.99</v>
      </c>
      <c r="M251" s="122">
        <f>(3854.6+1)*105%</f>
        <v>4048.38</v>
      </c>
      <c r="N251" s="124"/>
      <c r="O251" s="125"/>
    </row>
    <row r="252" spans="2:15" s="123" customFormat="1" ht="47.25">
      <c r="B252" s="120" t="s">
        <v>206</v>
      </c>
      <c r="C252" s="121" t="s">
        <v>82</v>
      </c>
      <c r="D252" s="121" t="s">
        <v>13</v>
      </c>
      <c r="E252" s="121" t="s">
        <v>34</v>
      </c>
      <c r="F252" s="127" t="s">
        <v>293</v>
      </c>
      <c r="G252" s="127" t="s">
        <v>212</v>
      </c>
      <c r="H252" s="127" t="s">
        <v>201</v>
      </c>
      <c r="I252" s="127" t="s">
        <v>296</v>
      </c>
      <c r="J252" s="121" t="s">
        <v>22</v>
      </c>
      <c r="K252" s="158">
        <f>K253</f>
        <v>1765</v>
      </c>
      <c r="L252" s="158">
        <f>L253</f>
        <v>1809.1249999999998</v>
      </c>
      <c r="M252" s="122">
        <f>M253</f>
        <v>1853.25</v>
      </c>
      <c r="N252" s="124"/>
      <c r="O252" s="125"/>
    </row>
    <row r="253" spans="2:15" s="123" customFormat="1" ht="47.25">
      <c r="B253" s="120" t="s">
        <v>23</v>
      </c>
      <c r="C253" s="121" t="s">
        <v>82</v>
      </c>
      <c r="D253" s="121" t="s">
        <v>13</v>
      </c>
      <c r="E253" s="121" t="s">
        <v>34</v>
      </c>
      <c r="F253" s="127" t="s">
        <v>293</v>
      </c>
      <c r="G253" s="127" t="s">
        <v>212</v>
      </c>
      <c r="H253" s="127" t="s">
        <v>201</v>
      </c>
      <c r="I253" s="127" t="s">
        <v>296</v>
      </c>
      <c r="J253" s="121" t="s">
        <v>24</v>
      </c>
      <c r="K253" s="158">
        <f>1765</f>
        <v>1765</v>
      </c>
      <c r="L253" s="158">
        <f>1765*102.5%</f>
        <v>1809.1249999999998</v>
      </c>
      <c r="M253" s="122">
        <f>1765*105%</f>
        <v>1853.25</v>
      </c>
      <c r="N253" s="124"/>
      <c r="O253" s="125"/>
    </row>
    <row r="254" spans="2:15" s="123" customFormat="1" ht="47.25">
      <c r="B254" s="162" t="s">
        <v>297</v>
      </c>
      <c r="C254" s="121" t="s">
        <v>82</v>
      </c>
      <c r="D254" s="121" t="s">
        <v>13</v>
      </c>
      <c r="E254" s="121" t="s">
        <v>34</v>
      </c>
      <c r="F254" s="127" t="s">
        <v>293</v>
      </c>
      <c r="G254" s="127" t="s">
        <v>212</v>
      </c>
      <c r="H254" s="127" t="s">
        <v>201</v>
      </c>
      <c r="I254" s="127" t="s">
        <v>298</v>
      </c>
      <c r="J254" s="138"/>
      <c r="K254" s="158">
        <f t="shared" ref="K254:M255" si="35">K255</f>
        <v>36.1</v>
      </c>
      <c r="L254" s="158">
        <f t="shared" si="35"/>
        <v>37.002499999999998</v>
      </c>
      <c r="M254" s="122">
        <f t="shared" si="35"/>
        <v>37.905000000000001</v>
      </c>
      <c r="N254" s="124"/>
      <c r="O254" s="125"/>
    </row>
    <row r="255" spans="2:15" s="123" customFormat="1">
      <c r="B255" s="120" t="s">
        <v>25</v>
      </c>
      <c r="C255" s="121" t="s">
        <v>82</v>
      </c>
      <c r="D255" s="121" t="s">
        <v>13</v>
      </c>
      <c r="E255" s="121" t="s">
        <v>34</v>
      </c>
      <c r="F255" s="127" t="s">
        <v>293</v>
      </c>
      <c r="G255" s="127" t="s">
        <v>212</v>
      </c>
      <c r="H255" s="127" t="s">
        <v>201</v>
      </c>
      <c r="I255" s="127" t="s">
        <v>298</v>
      </c>
      <c r="J255" s="121" t="s">
        <v>26</v>
      </c>
      <c r="K255" s="158">
        <f t="shared" si="35"/>
        <v>36.1</v>
      </c>
      <c r="L255" s="158">
        <f t="shared" si="35"/>
        <v>37.002499999999998</v>
      </c>
      <c r="M255" s="122">
        <f t="shared" si="35"/>
        <v>37.905000000000001</v>
      </c>
      <c r="N255" s="124"/>
      <c r="O255" s="125"/>
    </row>
    <row r="256" spans="2:15" s="123" customFormat="1">
      <c r="B256" s="120" t="s">
        <v>27</v>
      </c>
      <c r="C256" s="121" t="s">
        <v>82</v>
      </c>
      <c r="D256" s="121" t="s">
        <v>13</v>
      </c>
      <c r="E256" s="121" t="s">
        <v>34</v>
      </c>
      <c r="F256" s="127" t="s">
        <v>293</v>
      </c>
      <c r="G256" s="127" t="s">
        <v>212</v>
      </c>
      <c r="H256" s="127" t="s">
        <v>201</v>
      </c>
      <c r="I256" s="127" t="s">
        <v>298</v>
      </c>
      <c r="J256" s="121" t="s">
        <v>28</v>
      </c>
      <c r="K256" s="158">
        <f>36.1</f>
        <v>36.1</v>
      </c>
      <c r="L256" s="158">
        <f>36.1*102.5%</f>
        <v>37.002499999999998</v>
      </c>
      <c r="M256" s="122">
        <f>36.1*105%</f>
        <v>37.905000000000001</v>
      </c>
      <c r="N256" s="124"/>
      <c r="O256" s="125"/>
    </row>
    <row r="257" spans="2:15" s="123" customFormat="1" ht="31.5">
      <c r="B257" s="114" t="s">
        <v>299</v>
      </c>
      <c r="C257" s="115" t="s">
        <v>82</v>
      </c>
      <c r="D257" s="115"/>
      <c r="E257" s="115"/>
      <c r="F257" s="115"/>
      <c r="G257" s="115"/>
      <c r="H257" s="115"/>
      <c r="I257" s="115"/>
      <c r="J257" s="115"/>
      <c r="K257" s="157">
        <f t="shared" ref="K257:M261" si="36">K258</f>
        <v>1743.1</v>
      </c>
      <c r="L257" s="157">
        <f t="shared" si="36"/>
        <v>1786.6774999999998</v>
      </c>
      <c r="M257" s="116">
        <f t="shared" si="36"/>
        <v>1830.2550000000001</v>
      </c>
      <c r="N257" s="124"/>
      <c r="O257" s="125"/>
    </row>
    <row r="258" spans="2:15" s="123" customFormat="1">
      <c r="B258" s="114" t="s">
        <v>12</v>
      </c>
      <c r="C258" s="115" t="s">
        <v>82</v>
      </c>
      <c r="D258" s="115" t="s">
        <v>13</v>
      </c>
      <c r="E258" s="115"/>
      <c r="F258" s="115"/>
      <c r="G258" s="115"/>
      <c r="H258" s="115"/>
      <c r="I258" s="115"/>
      <c r="J258" s="115"/>
      <c r="K258" s="157">
        <f t="shared" si="36"/>
        <v>1743.1</v>
      </c>
      <c r="L258" s="157">
        <f t="shared" si="36"/>
        <v>1786.6774999999998</v>
      </c>
      <c r="M258" s="116">
        <f t="shared" si="36"/>
        <v>1830.2550000000001</v>
      </c>
      <c r="N258" s="124"/>
      <c r="O258" s="125"/>
    </row>
    <row r="259" spans="2:15" s="123" customFormat="1">
      <c r="B259" s="114" t="s">
        <v>33</v>
      </c>
      <c r="C259" s="115" t="s">
        <v>82</v>
      </c>
      <c r="D259" s="115" t="s">
        <v>13</v>
      </c>
      <c r="E259" s="115" t="s">
        <v>34</v>
      </c>
      <c r="F259" s="115"/>
      <c r="G259" s="115"/>
      <c r="H259" s="115"/>
      <c r="I259" s="115"/>
      <c r="J259" s="115"/>
      <c r="K259" s="157">
        <f t="shared" si="36"/>
        <v>1743.1</v>
      </c>
      <c r="L259" s="157">
        <f t="shared" si="36"/>
        <v>1786.6774999999998</v>
      </c>
      <c r="M259" s="116">
        <f t="shared" si="36"/>
        <v>1830.2550000000001</v>
      </c>
      <c r="N259" s="124"/>
      <c r="O259" s="125"/>
    </row>
    <row r="260" spans="2:15" s="123" customFormat="1" ht="47.25">
      <c r="B260" s="162" t="s">
        <v>292</v>
      </c>
      <c r="C260" s="121" t="s">
        <v>82</v>
      </c>
      <c r="D260" s="121" t="s">
        <v>13</v>
      </c>
      <c r="E260" s="121" t="s">
        <v>34</v>
      </c>
      <c r="F260" s="127" t="s">
        <v>293</v>
      </c>
      <c r="G260" s="127" t="s">
        <v>200</v>
      </c>
      <c r="H260" s="127" t="s">
        <v>201</v>
      </c>
      <c r="I260" s="127" t="s">
        <v>202</v>
      </c>
      <c r="J260" s="121"/>
      <c r="K260" s="158">
        <f t="shared" si="36"/>
        <v>1743.1</v>
      </c>
      <c r="L260" s="158">
        <f t="shared" si="36"/>
        <v>1786.6774999999998</v>
      </c>
      <c r="M260" s="122">
        <f t="shared" si="36"/>
        <v>1830.2550000000001</v>
      </c>
      <c r="N260" s="124"/>
      <c r="O260" s="125"/>
    </row>
    <row r="261" spans="2:15" s="123" customFormat="1" ht="63">
      <c r="B261" s="162" t="s">
        <v>294</v>
      </c>
      <c r="C261" s="121" t="s">
        <v>82</v>
      </c>
      <c r="D261" s="121" t="s">
        <v>13</v>
      </c>
      <c r="E261" s="121" t="s">
        <v>34</v>
      </c>
      <c r="F261" s="127" t="s">
        <v>293</v>
      </c>
      <c r="G261" s="127" t="s">
        <v>212</v>
      </c>
      <c r="H261" s="127" t="s">
        <v>201</v>
      </c>
      <c r="I261" s="127" t="s">
        <v>202</v>
      </c>
      <c r="J261" s="121"/>
      <c r="K261" s="158">
        <f t="shared" si="36"/>
        <v>1743.1</v>
      </c>
      <c r="L261" s="158">
        <f t="shared" si="36"/>
        <v>1786.6774999999998</v>
      </c>
      <c r="M261" s="122">
        <f t="shared" si="36"/>
        <v>1830.2550000000001</v>
      </c>
      <c r="N261" s="124"/>
      <c r="O261" s="125"/>
    </row>
    <row r="262" spans="2:15" s="123" customFormat="1" ht="31.5">
      <c r="B262" s="162" t="s">
        <v>295</v>
      </c>
      <c r="C262" s="121" t="s">
        <v>82</v>
      </c>
      <c r="D262" s="121" t="s">
        <v>13</v>
      </c>
      <c r="E262" s="121" t="s">
        <v>34</v>
      </c>
      <c r="F262" s="127" t="s">
        <v>293</v>
      </c>
      <c r="G262" s="127" t="s">
        <v>212</v>
      </c>
      <c r="H262" s="127" t="s">
        <v>201</v>
      </c>
      <c r="I262" s="127" t="s">
        <v>296</v>
      </c>
      <c r="J262" s="121"/>
      <c r="K262" s="158">
        <f>K263+K265</f>
        <v>1743.1</v>
      </c>
      <c r="L262" s="158">
        <f>L263+L265</f>
        <v>1786.6774999999998</v>
      </c>
      <c r="M262" s="122">
        <f>M263+M265</f>
        <v>1830.2550000000001</v>
      </c>
      <c r="N262" s="124"/>
      <c r="O262" s="125"/>
    </row>
    <row r="263" spans="2:15" s="123" customFormat="1" ht="94.5">
      <c r="B263" s="120" t="s">
        <v>17</v>
      </c>
      <c r="C263" s="121" t="s">
        <v>82</v>
      </c>
      <c r="D263" s="121" t="s">
        <v>13</v>
      </c>
      <c r="E263" s="121" t="s">
        <v>34</v>
      </c>
      <c r="F263" s="127" t="s">
        <v>293</v>
      </c>
      <c r="G263" s="127" t="s">
        <v>212</v>
      </c>
      <c r="H263" s="127" t="s">
        <v>201</v>
      </c>
      <c r="I263" s="127" t="s">
        <v>296</v>
      </c>
      <c r="J263" s="121" t="s">
        <v>18</v>
      </c>
      <c r="K263" s="158">
        <f>K264</f>
        <v>1587.6</v>
      </c>
      <c r="L263" s="158">
        <f>L264</f>
        <v>1627.2899999999997</v>
      </c>
      <c r="M263" s="122">
        <f>M264</f>
        <v>1666.98</v>
      </c>
      <c r="N263" s="124"/>
      <c r="O263" s="125"/>
    </row>
    <row r="264" spans="2:15" s="123" customFormat="1" ht="31.5">
      <c r="B264" s="128" t="s">
        <v>102</v>
      </c>
      <c r="C264" s="121" t="s">
        <v>82</v>
      </c>
      <c r="D264" s="121" t="s">
        <v>13</v>
      </c>
      <c r="E264" s="121" t="s">
        <v>34</v>
      </c>
      <c r="F264" s="127" t="s">
        <v>293</v>
      </c>
      <c r="G264" s="127" t="s">
        <v>212</v>
      </c>
      <c r="H264" s="127" t="s">
        <v>201</v>
      </c>
      <c r="I264" s="127" t="s">
        <v>296</v>
      </c>
      <c r="J264" s="121" t="s">
        <v>103</v>
      </c>
      <c r="K264" s="158">
        <f>1587.6</f>
        <v>1587.6</v>
      </c>
      <c r="L264" s="158">
        <f>1587.6*102.5%</f>
        <v>1627.2899999999997</v>
      </c>
      <c r="M264" s="122">
        <f>1587.6*105%</f>
        <v>1666.98</v>
      </c>
      <c r="N264" s="124"/>
      <c r="O264" s="125"/>
    </row>
    <row r="265" spans="2:15" s="123" customFormat="1" ht="47.25">
      <c r="B265" s="120" t="s">
        <v>206</v>
      </c>
      <c r="C265" s="121" t="s">
        <v>82</v>
      </c>
      <c r="D265" s="121" t="s">
        <v>13</v>
      </c>
      <c r="E265" s="121" t="s">
        <v>34</v>
      </c>
      <c r="F265" s="127" t="s">
        <v>293</v>
      </c>
      <c r="G265" s="127" t="s">
        <v>212</v>
      </c>
      <c r="H265" s="127" t="s">
        <v>201</v>
      </c>
      <c r="I265" s="127" t="s">
        <v>296</v>
      </c>
      <c r="J265" s="121" t="s">
        <v>22</v>
      </c>
      <c r="K265" s="158">
        <f>K266</f>
        <v>155.5</v>
      </c>
      <c r="L265" s="158">
        <f>L266</f>
        <v>159.38749999999999</v>
      </c>
      <c r="M265" s="122">
        <f>M266</f>
        <v>163.27500000000001</v>
      </c>
      <c r="N265" s="124"/>
      <c r="O265" s="125"/>
    </row>
    <row r="266" spans="2:15" s="123" customFormat="1" ht="47.25">
      <c r="B266" s="120" t="s">
        <v>23</v>
      </c>
      <c r="C266" s="121" t="s">
        <v>82</v>
      </c>
      <c r="D266" s="121" t="s">
        <v>13</v>
      </c>
      <c r="E266" s="121" t="s">
        <v>34</v>
      </c>
      <c r="F266" s="127" t="s">
        <v>293</v>
      </c>
      <c r="G266" s="127" t="s">
        <v>212</v>
      </c>
      <c r="H266" s="127" t="s">
        <v>201</v>
      </c>
      <c r="I266" s="127" t="s">
        <v>296</v>
      </c>
      <c r="J266" s="121" t="s">
        <v>24</v>
      </c>
      <c r="K266" s="158">
        <f>155.5</f>
        <v>155.5</v>
      </c>
      <c r="L266" s="158">
        <f>155.5*102.5%</f>
        <v>159.38749999999999</v>
      </c>
      <c r="M266" s="122">
        <f>155.5*105%</f>
        <v>163.27500000000001</v>
      </c>
      <c r="N266" s="124"/>
      <c r="O266" s="125"/>
    </row>
    <row r="267" spans="2:15" s="123" customFormat="1" ht="47.25">
      <c r="B267" s="114" t="s">
        <v>105</v>
      </c>
      <c r="C267" s="115" t="s">
        <v>104</v>
      </c>
      <c r="D267" s="115"/>
      <c r="E267" s="115"/>
      <c r="F267" s="115"/>
      <c r="G267" s="115"/>
      <c r="H267" s="115"/>
      <c r="I267" s="115"/>
      <c r="J267" s="115"/>
      <c r="K267" s="161">
        <f>K268+K479</f>
        <v>442240.70000000007</v>
      </c>
      <c r="L267" s="161">
        <f>L268+L479</f>
        <v>459871.80750000005</v>
      </c>
      <c r="M267" s="137">
        <f>M268+M479</f>
        <v>472276.51500000013</v>
      </c>
      <c r="N267" s="124"/>
      <c r="O267" s="125"/>
    </row>
    <row r="268" spans="2:15" s="123" customFormat="1" ht="24" customHeight="1">
      <c r="B268" s="114" t="s">
        <v>70</v>
      </c>
      <c r="C268" s="115" t="s">
        <v>104</v>
      </c>
      <c r="D268" s="115" t="s">
        <v>71</v>
      </c>
      <c r="E268" s="115"/>
      <c r="F268" s="115"/>
      <c r="G268" s="115"/>
      <c r="H268" s="115"/>
      <c r="I268" s="115"/>
      <c r="J268" s="115"/>
      <c r="K268" s="161">
        <f>K269+K288+K315+K332</f>
        <v>438175.50000000006</v>
      </c>
      <c r="L268" s="161">
        <f>L269+L288+L315+L332</f>
        <v>456687.90750000003</v>
      </c>
      <c r="M268" s="137">
        <f>M269+M288+M315+M332</f>
        <v>469092.61500000011</v>
      </c>
      <c r="N268" s="124"/>
      <c r="O268" s="125"/>
    </row>
    <row r="269" spans="2:15" s="123" customFormat="1" ht="22.5" customHeight="1">
      <c r="B269" s="114" t="s">
        <v>72</v>
      </c>
      <c r="C269" s="115" t="s">
        <v>104</v>
      </c>
      <c r="D269" s="115" t="s">
        <v>71</v>
      </c>
      <c r="E269" s="115" t="s">
        <v>13</v>
      </c>
      <c r="F269" s="115"/>
      <c r="G269" s="115"/>
      <c r="H269" s="115"/>
      <c r="I269" s="115"/>
      <c r="J269" s="115"/>
      <c r="K269" s="161">
        <f>K271</f>
        <v>125515</v>
      </c>
      <c r="L269" s="161">
        <f>L271</f>
        <v>141289.57250000001</v>
      </c>
      <c r="M269" s="137">
        <f>M271</f>
        <v>147265.64500000002</v>
      </c>
      <c r="N269" s="124"/>
      <c r="O269" s="125"/>
    </row>
    <row r="270" spans="2:15" s="123" customFormat="1" ht="47.25">
      <c r="B270" s="162" t="s">
        <v>292</v>
      </c>
      <c r="C270" s="121" t="s">
        <v>104</v>
      </c>
      <c r="D270" s="121" t="s">
        <v>71</v>
      </c>
      <c r="E270" s="121" t="s">
        <v>13</v>
      </c>
      <c r="F270" s="127" t="s">
        <v>293</v>
      </c>
      <c r="G270" s="127" t="s">
        <v>200</v>
      </c>
      <c r="H270" s="127" t="s">
        <v>201</v>
      </c>
      <c r="I270" s="127" t="s">
        <v>202</v>
      </c>
      <c r="J270" s="121"/>
      <c r="K270" s="160">
        <f>K271</f>
        <v>125515</v>
      </c>
      <c r="L270" s="160">
        <f>L271</f>
        <v>141289.57250000001</v>
      </c>
      <c r="M270" s="136">
        <f>M271</f>
        <v>147265.64500000002</v>
      </c>
      <c r="N270" s="124"/>
      <c r="O270" s="125"/>
    </row>
    <row r="271" spans="2:15" s="123" customFormat="1">
      <c r="B271" s="162" t="s">
        <v>106</v>
      </c>
      <c r="C271" s="121" t="s">
        <v>104</v>
      </c>
      <c r="D271" s="121" t="s">
        <v>71</v>
      </c>
      <c r="E271" s="121" t="s">
        <v>13</v>
      </c>
      <c r="F271" s="127" t="s">
        <v>293</v>
      </c>
      <c r="G271" s="127" t="s">
        <v>223</v>
      </c>
      <c r="H271" s="127" t="s">
        <v>201</v>
      </c>
      <c r="I271" s="127" t="s">
        <v>202</v>
      </c>
      <c r="J271" s="121"/>
      <c r="K271" s="160">
        <f>K272+K279+K282+K285</f>
        <v>125515</v>
      </c>
      <c r="L271" s="160">
        <f>L272+L279+L282+L285</f>
        <v>141289.57250000001</v>
      </c>
      <c r="M271" s="136">
        <f>M272+M279+M282+M285</f>
        <v>147265.64500000002</v>
      </c>
      <c r="N271" s="124"/>
      <c r="O271" s="125"/>
    </row>
    <row r="272" spans="2:15" s="123" customFormat="1" ht="47.25">
      <c r="B272" s="162" t="s">
        <v>300</v>
      </c>
      <c r="C272" s="121" t="s">
        <v>104</v>
      </c>
      <c r="D272" s="121" t="s">
        <v>71</v>
      </c>
      <c r="E272" s="121" t="s">
        <v>13</v>
      </c>
      <c r="F272" s="127" t="s">
        <v>293</v>
      </c>
      <c r="G272" s="127" t="s">
        <v>223</v>
      </c>
      <c r="H272" s="127" t="s">
        <v>201</v>
      </c>
      <c r="I272" s="127" t="s">
        <v>301</v>
      </c>
      <c r="J272" s="121"/>
      <c r="K272" s="160">
        <f>K273+K276</f>
        <v>39042.899999999994</v>
      </c>
      <c r="L272" s="160">
        <f>L273+L276</f>
        <v>40018.972499999989</v>
      </c>
      <c r="M272" s="136">
        <f>M273+M276</f>
        <v>45995.044999999998</v>
      </c>
      <c r="N272" s="124"/>
      <c r="O272" s="125"/>
    </row>
    <row r="273" spans="2:15" s="123" customFormat="1" ht="47.25">
      <c r="B273" s="162" t="s">
        <v>302</v>
      </c>
      <c r="C273" s="121" t="s">
        <v>104</v>
      </c>
      <c r="D273" s="121" t="s">
        <v>71</v>
      </c>
      <c r="E273" s="121" t="s">
        <v>13</v>
      </c>
      <c r="F273" s="127" t="s">
        <v>293</v>
      </c>
      <c r="G273" s="127" t="s">
        <v>223</v>
      </c>
      <c r="H273" s="127" t="s">
        <v>201</v>
      </c>
      <c r="I273" s="127" t="s">
        <v>303</v>
      </c>
      <c r="J273" s="121"/>
      <c r="K273" s="160">
        <f t="shared" ref="K273:M274" si="37">K274</f>
        <v>36845.699999999997</v>
      </c>
      <c r="L273" s="160">
        <f t="shared" si="37"/>
        <v>37766.842499999992</v>
      </c>
      <c r="M273" s="136">
        <f t="shared" si="37"/>
        <v>43687.985000000001</v>
      </c>
      <c r="N273" s="124"/>
      <c r="O273" s="125"/>
    </row>
    <row r="274" spans="2:15" s="123" customFormat="1" ht="47.25">
      <c r="B274" s="120" t="s">
        <v>85</v>
      </c>
      <c r="C274" s="121" t="s">
        <v>104</v>
      </c>
      <c r="D274" s="121" t="s">
        <v>71</v>
      </c>
      <c r="E274" s="121" t="s">
        <v>13</v>
      </c>
      <c r="F274" s="127" t="s">
        <v>293</v>
      </c>
      <c r="G274" s="127" t="s">
        <v>223</v>
      </c>
      <c r="H274" s="127" t="s">
        <v>201</v>
      </c>
      <c r="I274" s="127" t="s">
        <v>303</v>
      </c>
      <c r="J274" s="121" t="s">
        <v>86</v>
      </c>
      <c r="K274" s="160">
        <f t="shared" si="37"/>
        <v>36845.699999999997</v>
      </c>
      <c r="L274" s="160">
        <f t="shared" si="37"/>
        <v>37766.842499999992</v>
      </c>
      <c r="M274" s="136">
        <f t="shared" si="37"/>
        <v>43687.985000000001</v>
      </c>
      <c r="N274" s="124"/>
      <c r="O274" s="125"/>
    </row>
    <row r="275" spans="2:15" s="123" customFormat="1">
      <c r="B275" s="120" t="s">
        <v>107</v>
      </c>
      <c r="C275" s="121" t="s">
        <v>104</v>
      </c>
      <c r="D275" s="121" t="s">
        <v>71</v>
      </c>
      <c r="E275" s="121" t="s">
        <v>13</v>
      </c>
      <c r="F275" s="127" t="s">
        <v>293</v>
      </c>
      <c r="G275" s="127" t="s">
        <v>223</v>
      </c>
      <c r="H275" s="127" t="s">
        <v>201</v>
      </c>
      <c r="I275" s="127" t="s">
        <v>303</v>
      </c>
      <c r="J275" s="121" t="s">
        <v>108</v>
      </c>
      <c r="K275" s="160">
        <f>(39665.7-2820)</f>
        <v>36845.699999999997</v>
      </c>
      <c r="L275" s="160">
        <f>(39665.7-2820)*102.5%</f>
        <v>37766.842499999992</v>
      </c>
      <c r="M275" s="136">
        <f>((39665.7-2820)*105%)+5000</f>
        <v>43687.985000000001</v>
      </c>
      <c r="N275" s="124"/>
      <c r="O275" s="125"/>
    </row>
    <row r="276" spans="2:15" s="123" customFormat="1" ht="47.25">
      <c r="B276" s="162" t="s">
        <v>304</v>
      </c>
      <c r="C276" s="121" t="s">
        <v>104</v>
      </c>
      <c r="D276" s="121" t="s">
        <v>71</v>
      </c>
      <c r="E276" s="121" t="s">
        <v>13</v>
      </c>
      <c r="F276" s="127" t="s">
        <v>293</v>
      </c>
      <c r="G276" s="127" t="s">
        <v>223</v>
      </c>
      <c r="H276" s="127" t="s">
        <v>201</v>
      </c>
      <c r="I276" s="127" t="s">
        <v>305</v>
      </c>
      <c r="J276" s="121"/>
      <c r="K276" s="160">
        <f>K278</f>
        <v>2197.1999999999998</v>
      </c>
      <c r="L276" s="160">
        <f>L278</f>
        <v>2252.1299999999997</v>
      </c>
      <c r="M276" s="136">
        <f>M278</f>
        <v>2307.06</v>
      </c>
      <c r="N276" s="124"/>
      <c r="O276" s="125"/>
    </row>
    <row r="277" spans="2:15" s="123" customFormat="1" ht="47.25">
      <c r="B277" s="120" t="s">
        <v>85</v>
      </c>
      <c r="C277" s="121" t="s">
        <v>104</v>
      </c>
      <c r="D277" s="121" t="s">
        <v>71</v>
      </c>
      <c r="E277" s="121" t="s">
        <v>13</v>
      </c>
      <c r="F277" s="127" t="s">
        <v>293</v>
      </c>
      <c r="G277" s="127" t="s">
        <v>223</v>
      </c>
      <c r="H277" s="127" t="s">
        <v>201</v>
      </c>
      <c r="I277" s="127" t="s">
        <v>305</v>
      </c>
      <c r="J277" s="121" t="s">
        <v>86</v>
      </c>
      <c r="K277" s="160">
        <f>K278</f>
        <v>2197.1999999999998</v>
      </c>
      <c r="L277" s="160">
        <f>L278</f>
        <v>2252.1299999999997</v>
      </c>
      <c r="M277" s="136">
        <f>M278</f>
        <v>2307.06</v>
      </c>
      <c r="N277" s="124"/>
      <c r="O277" s="125"/>
    </row>
    <row r="278" spans="2:15" s="123" customFormat="1" ht="19.5" customHeight="1">
      <c r="B278" s="120" t="s">
        <v>107</v>
      </c>
      <c r="C278" s="121" t="s">
        <v>104</v>
      </c>
      <c r="D278" s="121" t="s">
        <v>71</v>
      </c>
      <c r="E278" s="121" t="s">
        <v>13</v>
      </c>
      <c r="F278" s="127" t="s">
        <v>293</v>
      </c>
      <c r="G278" s="127" t="s">
        <v>223</v>
      </c>
      <c r="H278" s="127" t="s">
        <v>201</v>
      </c>
      <c r="I278" s="127" t="s">
        <v>305</v>
      </c>
      <c r="J278" s="121" t="s">
        <v>108</v>
      </c>
      <c r="K278" s="160">
        <f>2197.2</f>
        <v>2197.1999999999998</v>
      </c>
      <c r="L278" s="160">
        <f>2197.2*102.5%</f>
        <v>2252.1299999999997</v>
      </c>
      <c r="M278" s="136">
        <f>2197.2*105%</f>
        <v>2307.06</v>
      </c>
      <c r="N278" s="124"/>
      <c r="O278" s="125"/>
    </row>
    <row r="279" spans="2:15" s="123" customFormat="1" ht="47.25">
      <c r="B279" s="162" t="s">
        <v>306</v>
      </c>
      <c r="C279" s="121" t="s">
        <v>104</v>
      </c>
      <c r="D279" s="121" t="s">
        <v>71</v>
      </c>
      <c r="E279" s="121" t="s">
        <v>13</v>
      </c>
      <c r="F279" s="127" t="s">
        <v>293</v>
      </c>
      <c r="G279" s="127" t="s">
        <v>223</v>
      </c>
      <c r="H279" s="127" t="s">
        <v>201</v>
      </c>
      <c r="I279" s="127" t="s">
        <v>307</v>
      </c>
      <c r="J279" s="121"/>
      <c r="K279" s="160">
        <f t="shared" ref="K279:M280" si="38">K280</f>
        <v>85694.1</v>
      </c>
      <c r="L279" s="160">
        <f t="shared" si="38"/>
        <v>100579.4</v>
      </c>
      <c r="M279" s="136">
        <f t="shared" si="38"/>
        <v>100579.4</v>
      </c>
      <c r="N279" s="124"/>
      <c r="O279" s="125"/>
    </row>
    <row r="280" spans="2:15" s="123" customFormat="1" ht="47.25">
      <c r="B280" s="120" t="s">
        <v>85</v>
      </c>
      <c r="C280" s="121" t="s">
        <v>104</v>
      </c>
      <c r="D280" s="121" t="s">
        <v>71</v>
      </c>
      <c r="E280" s="121" t="s">
        <v>13</v>
      </c>
      <c r="F280" s="127" t="s">
        <v>293</v>
      </c>
      <c r="G280" s="127" t="s">
        <v>223</v>
      </c>
      <c r="H280" s="127" t="s">
        <v>201</v>
      </c>
      <c r="I280" s="127" t="s">
        <v>307</v>
      </c>
      <c r="J280" s="121" t="s">
        <v>86</v>
      </c>
      <c r="K280" s="160">
        <f t="shared" si="38"/>
        <v>85694.1</v>
      </c>
      <c r="L280" s="160">
        <f t="shared" si="38"/>
        <v>100579.4</v>
      </c>
      <c r="M280" s="136">
        <f t="shared" si="38"/>
        <v>100579.4</v>
      </c>
      <c r="N280" s="124"/>
      <c r="O280" s="125"/>
    </row>
    <row r="281" spans="2:15" s="123" customFormat="1" ht="21.75" customHeight="1">
      <c r="B281" s="120" t="s">
        <v>107</v>
      </c>
      <c r="C281" s="121" t="s">
        <v>104</v>
      </c>
      <c r="D281" s="121" t="s">
        <v>71</v>
      </c>
      <c r="E281" s="121" t="s">
        <v>13</v>
      </c>
      <c r="F281" s="127" t="s">
        <v>293</v>
      </c>
      <c r="G281" s="127" t="s">
        <v>223</v>
      </c>
      <c r="H281" s="127" t="s">
        <v>201</v>
      </c>
      <c r="I281" s="127" t="s">
        <v>307</v>
      </c>
      <c r="J281" s="121" t="s">
        <v>108</v>
      </c>
      <c r="K281" s="160">
        <v>85694.1</v>
      </c>
      <c r="L281" s="160">
        <f>100579.4</f>
        <v>100579.4</v>
      </c>
      <c r="M281" s="136">
        <f>100579.4</f>
        <v>100579.4</v>
      </c>
      <c r="N281" s="124"/>
      <c r="O281" s="125"/>
    </row>
    <row r="282" spans="2:15" s="123" customFormat="1" ht="94.5">
      <c r="B282" s="162" t="s">
        <v>308</v>
      </c>
      <c r="C282" s="121" t="s">
        <v>104</v>
      </c>
      <c r="D282" s="121" t="s">
        <v>71</v>
      </c>
      <c r="E282" s="121" t="s">
        <v>13</v>
      </c>
      <c r="F282" s="127" t="s">
        <v>293</v>
      </c>
      <c r="G282" s="127" t="s">
        <v>223</v>
      </c>
      <c r="H282" s="127" t="s">
        <v>201</v>
      </c>
      <c r="I282" s="127" t="s">
        <v>309</v>
      </c>
      <c r="J282" s="121"/>
      <c r="K282" s="160">
        <f t="shared" ref="K282:M283" si="39">K283</f>
        <v>737.4</v>
      </c>
      <c r="L282" s="160">
        <f t="shared" si="39"/>
        <v>650.6</v>
      </c>
      <c r="M282" s="136">
        <f t="shared" si="39"/>
        <v>650.6</v>
      </c>
      <c r="N282" s="124"/>
      <c r="O282" s="125"/>
    </row>
    <row r="283" spans="2:15" s="123" customFormat="1" ht="47.25">
      <c r="B283" s="120" t="s">
        <v>85</v>
      </c>
      <c r="C283" s="121" t="s">
        <v>104</v>
      </c>
      <c r="D283" s="121" t="s">
        <v>71</v>
      </c>
      <c r="E283" s="121" t="s">
        <v>13</v>
      </c>
      <c r="F283" s="127" t="s">
        <v>293</v>
      </c>
      <c r="G283" s="127" t="s">
        <v>223</v>
      </c>
      <c r="H283" s="127" t="s">
        <v>201</v>
      </c>
      <c r="I283" s="127" t="s">
        <v>309</v>
      </c>
      <c r="J283" s="121" t="s">
        <v>86</v>
      </c>
      <c r="K283" s="160">
        <f t="shared" si="39"/>
        <v>737.4</v>
      </c>
      <c r="L283" s="160">
        <f t="shared" si="39"/>
        <v>650.6</v>
      </c>
      <c r="M283" s="136">
        <f t="shared" si="39"/>
        <v>650.6</v>
      </c>
      <c r="N283" s="124"/>
      <c r="O283" s="125"/>
    </row>
    <row r="284" spans="2:15" s="123" customFormat="1" ht="27" customHeight="1">
      <c r="B284" s="120" t="s">
        <v>107</v>
      </c>
      <c r="C284" s="121" t="s">
        <v>104</v>
      </c>
      <c r="D284" s="121" t="s">
        <v>71</v>
      </c>
      <c r="E284" s="121" t="s">
        <v>13</v>
      </c>
      <c r="F284" s="127" t="s">
        <v>293</v>
      </c>
      <c r="G284" s="127" t="s">
        <v>223</v>
      </c>
      <c r="H284" s="127" t="s">
        <v>201</v>
      </c>
      <c r="I284" s="127" t="s">
        <v>309</v>
      </c>
      <c r="J284" s="121" t="s">
        <v>108</v>
      </c>
      <c r="K284" s="160">
        <f>737.4</f>
        <v>737.4</v>
      </c>
      <c r="L284" s="160">
        <f>650.6</f>
        <v>650.6</v>
      </c>
      <c r="M284" s="136">
        <f>650.6</f>
        <v>650.6</v>
      </c>
      <c r="N284" s="124"/>
      <c r="O284" s="125"/>
    </row>
    <row r="285" spans="2:15" s="123" customFormat="1" ht="126">
      <c r="B285" s="162" t="s">
        <v>310</v>
      </c>
      <c r="C285" s="121" t="s">
        <v>104</v>
      </c>
      <c r="D285" s="121" t="s">
        <v>71</v>
      </c>
      <c r="E285" s="121" t="s">
        <v>13</v>
      </c>
      <c r="F285" s="127" t="s">
        <v>293</v>
      </c>
      <c r="G285" s="127" t="s">
        <v>223</v>
      </c>
      <c r="H285" s="127" t="s">
        <v>201</v>
      </c>
      <c r="I285" s="127" t="s">
        <v>311</v>
      </c>
      <c r="J285" s="121"/>
      <c r="K285" s="160">
        <f t="shared" ref="K285:M286" si="40">K286</f>
        <v>40.6</v>
      </c>
      <c r="L285" s="160">
        <f t="shared" si="40"/>
        <v>40.6</v>
      </c>
      <c r="M285" s="136">
        <f t="shared" si="40"/>
        <v>40.6</v>
      </c>
      <c r="N285" s="124"/>
      <c r="O285" s="125"/>
    </row>
    <row r="286" spans="2:15" s="123" customFormat="1" ht="47.25">
      <c r="B286" s="120" t="s">
        <v>85</v>
      </c>
      <c r="C286" s="121" t="s">
        <v>104</v>
      </c>
      <c r="D286" s="121" t="s">
        <v>71</v>
      </c>
      <c r="E286" s="121" t="s">
        <v>13</v>
      </c>
      <c r="F286" s="127" t="s">
        <v>293</v>
      </c>
      <c r="G286" s="127" t="s">
        <v>223</v>
      </c>
      <c r="H286" s="127" t="s">
        <v>201</v>
      </c>
      <c r="I286" s="127" t="s">
        <v>311</v>
      </c>
      <c r="J286" s="121" t="s">
        <v>86</v>
      </c>
      <c r="K286" s="160">
        <f t="shared" si="40"/>
        <v>40.6</v>
      </c>
      <c r="L286" s="160">
        <f t="shared" si="40"/>
        <v>40.6</v>
      </c>
      <c r="M286" s="136">
        <f t="shared" si="40"/>
        <v>40.6</v>
      </c>
      <c r="N286" s="124"/>
      <c r="O286" s="125"/>
    </row>
    <row r="287" spans="2:15" s="123" customFormat="1" ht="33" customHeight="1">
      <c r="B287" s="120" t="s">
        <v>107</v>
      </c>
      <c r="C287" s="121" t="s">
        <v>104</v>
      </c>
      <c r="D287" s="121" t="s">
        <v>71</v>
      </c>
      <c r="E287" s="121" t="s">
        <v>13</v>
      </c>
      <c r="F287" s="127" t="s">
        <v>293</v>
      </c>
      <c r="G287" s="127" t="s">
        <v>223</v>
      </c>
      <c r="H287" s="127" t="s">
        <v>201</v>
      </c>
      <c r="I287" s="127" t="s">
        <v>311</v>
      </c>
      <c r="J287" s="121" t="s">
        <v>108</v>
      </c>
      <c r="K287" s="160">
        <f>40.6</f>
        <v>40.6</v>
      </c>
      <c r="L287" s="160">
        <f>40.6</f>
        <v>40.6</v>
      </c>
      <c r="M287" s="136">
        <f>40.6</f>
        <v>40.6</v>
      </c>
      <c r="N287" s="124"/>
      <c r="O287" s="125"/>
    </row>
    <row r="288" spans="2:15" s="123" customFormat="1" ht="24.75" customHeight="1">
      <c r="B288" s="114" t="s">
        <v>109</v>
      </c>
      <c r="C288" s="115" t="s">
        <v>104</v>
      </c>
      <c r="D288" s="115" t="s">
        <v>71</v>
      </c>
      <c r="E288" s="115" t="s">
        <v>38</v>
      </c>
      <c r="F288" s="115"/>
      <c r="G288" s="115"/>
      <c r="H288" s="115"/>
      <c r="I288" s="115"/>
      <c r="J288" s="115"/>
      <c r="K288" s="161">
        <f>K289</f>
        <v>288151.10000000009</v>
      </c>
      <c r="L288" s="161">
        <f>L289</f>
        <v>290262.72500000003</v>
      </c>
      <c r="M288" s="137">
        <f>M289</f>
        <v>296097.05000000005</v>
      </c>
      <c r="N288" s="124"/>
      <c r="O288" s="125"/>
    </row>
    <row r="289" spans="2:15" s="123" customFormat="1" ht="47.25">
      <c r="B289" s="162" t="s">
        <v>292</v>
      </c>
      <c r="C289" s="121" t="s">
        <v>104</v>
      </c>
      <c r="D289" s="121" t="s">
        <v>71</v>
      </c>
      <c r="E289" s="121" t="s">
        <v>38</v>
      </c>
      <c r="F289" s="127" t="s">
        <v>293</v>
      </c>
      <c r="G289" s="127" t="s">
        <v>200</v>
      </c>
      <c r="H289" s="127" t="s">
        <v>201</v>
      </c>
      <c r="I289" s="127" t="s">
        <v>202</v>
      </c>
      <c r="J289" s="121"/>
      <c r="K289" s="160">
        <f>K290+K307</f>
        <v>288151.10000000009</v>
      </c>
      <c r="L289" s="160">
        <f>L290+L307</f>
        <v>290262.72500000003</v>
      </c>
      <c r="M289" s="136">
        <f>M290+M307</f>
        <v>296097.05000000005</v>
      </c>
      <c r="N289" s="124"/>
      <c r="O289" s="125"/>
    </row>
    <row r="290" spans="2:15" s="123" customFormat="1" ht="31.5">
      <c r="B290" s="162" t="s">
        <v>110</v>
      </c>
      <c r="C290" s="121" t="s">
        <v>104</v>
      </c>
      <c r="D290" s="121" t="s">
        <v>71</v>
      </c>
      <c r="E290" s="121" t="s">
        <v>38</v>
      </c>
      <c r="F290" s="127" t="s">
        <v>293</v>
      </c>
      <c r="G290" s="127" t="s">
        <v>204</v>
      </c>
      <c r="H290" s="127" t="s">
        <v>201</v>
      </c>
      <c r="I290" s="127" t="s">
        <v>202</v>
      </c>
      <c r="J290" s="121"/>
      <c r="K290" s="160">
        <f>K291+K298+K301+K304</f>
        <v>278336.20000000007</v>
      </c>
      <c r="L290" s="160">
        <f>L291+L298+L301+L304</f>
        <v>280202.45250000001</v>
      </c>
      <c r="M290" s="136">
        <f>M291+M298+M301+M304</f>
        <v>285791.40500000003</v>
      </c>
      <c r="N290" s="124"/>
      <c r="O290" s="125"/>
    </row>
    <row r="291" spans="2:15" s="123" customFormat="1" ht="47.25">
      <c r="B291" s="162" t="s">
        <v>300</v>
      </c>
      <c r="C291" s="121" t="s">
        <v>104</v>
      </c>
      <c r="D291" s="121" t="s">
        <v>71</v>
      </c>
      <c r="E291" s="121" t="s">
        <v>38</v>
      </c>
      <c r="F291" s="127" t="s">
        <v>293</v>
      </c>
      <c r="G291" s="127" t="s">
        <v>204</v>
      </c>
      <c r="H291" s="127" t="s">
        <v>201</v>
      </c>
      <c r="I291" s="127" t="s">
        <v>301</v>
      </c>
      <c r="J291" s="121"/>
      <c r="K291" s="160">
        <f>K292+K295</f>
        <v>23558.1</v>
      </c>
      <c r="L291" s="160">
        <f>L292+L295</f>
        <v>24147.052499999998</v>
      </c>
      <c r="M291" s="136">
        <f>M292+M295</f>
        <v>29736.005000000001</v>
      </c>
      <c r="N291" s="124"/>
      <c r="O291" s="125"/>
    </row>
    <row r="292" spans="2:15" s="123" customFormat="1" ht="47.25">
      <c r="B292" s="162" t="s">
        <v>302</v>
      </c>
      <c r="C292" s="121" t="s">
        <v>104</v>
      </c>
      <c r="D292" s="121" t="s">
        <v>71</v>
      </c>
      <c r="E292" s="121" t="s">
        <v>38</v>
      </c>
      <c r="F292" s="127" t="s">
        <v>293</v>
      </c>
      <c r="G292" s="127" t="s">
        <v>204</v>
      </c>
      <c r="H292" s="127" t="s">
        <v>201</v>
      </c>
      <c r="I292" s="127" t="s">
        <v>303</v>
      </c>
      <c r="J292" s="121"/>
      <c r="K292" s="160">
        <f t="shared" ref="K292:M293" si="41">K293</f>
        <v>22593.1</v>
      </c>
      <c r="L292" s="160">
        <f t="shared" si="41"/>
        <v>23157.927499999998</v>
      </c>
      <c r="M292" s="136">
        <f t="shared" si="41"/>
        <v>28722.755000000001</v>
      </c>
      <c r="N292" s="124"/>
      <c r="O292" s="125"/>
    </row>
    <row r="293" spans="2:15" s="123" customFormat="1" ht="47.25">
      <c r="B293" s="120" t="s">
        <v>85</v>
      </c>
      <c r="C293" s="121" t="s">
        <v>104</v>
      </c>
      <c r="D293" s="121" t="s">
        <v>71</v>
      </c>
      <c r="E293" s="121" t="s">
        <v>38</v>
      </c>
      <c r="F293" s="127" t="s">
        <v>293</v>
      </c>
      <c r="G293" s="127" t="s">
        <v>204</v>
      </c>
      <c r="H293" s="127" t="s">
        <v>201</v>
      </c>
      <c r="I293" s="127" t="s">
        <v>303</v>
      </c>
      <c r="J293" s="121" t="s">
        <v>86</v>
      </c>
      <c r="K293" s="160">
        <f t="shared" si="41"/>
        <v>22593.1</v>
      </c>
      <c r="L293" s="160">
        <f t="shared" si="41"/>
        <v>23157.927499999998</v>
      </c>
      <c r="M293" s="136">
        <f t="shared" si="41"/>
        <v>28722.755000000001</v>
      </c>
      <c r="N293" s="124"/>
      <c r="O293" s="125"/>
    </row>
    <row r="294" spans="2:15" s="123" customFormat="1">
      <c r="B294" s="120" t="s">
        <v>107</v>
      </c>
      <c r="C294" s="121" t="s">
        <v>104</v>
      </c>
      <c r="D294" s="121" t="s">
        <v>71</v>
      </c>
      <c r="E294" s="121" t="s">
        <v>38</v>
      </c>
      <c r="F294" s="127" t="s">
        <v>293</v>
      </c>
      <c r="G294" s="127" t="s">
        <v>204</v>
      </c>
      <c r="H294" s="127" t="s">
        <v>201</v>
      </c>
      <c r="I294" s="127" t="s">
        <v>303</v>
      </c>
      <c r="J294" s="121" t="s">
        <v>108</v>
      </c>
      <c r="K294" s="160">
        <f>(22593.1)</f>
        <v>22593.1</v>
      </c>
      <c r="L294" s="160">
        <f>(22593.1)*102.5%</f>
        <v>23157.927499999998</v>
      </c>
      <c r="M294" s="136">
        <f>((22593.1)*105%)+5000</f>
        <v>28722.755000000001</v>
      </c>
      <c r="N294" s="124"/>
      <c r="O294" s="125"/>
    </row>
    <row r="295" spans="2:15" s="123" customFormat="1" ht="47.25">
      <c r="B295" s="162" t="s">
        <v>312</v>
      </c>
      <c r="C295" s="121" t="s">
        <v>104</v>
      </c>
      <c r="D295" s="121" t="s">
        <v>71</v>
      </c>
      <c r="E295" s="121" t="s">
        <v>38</v>
      </c>
      <c r="F295" s="127" t="s">
        <v>293</v>
      </c>
      <c r="G295" s="127" t="s">
        <v>204</v>
      </c>
      <c r="H295" s="127" t="s">
        <v>201</v>
      </c>
      <c r="I295" s="127" t="s">
        <v>313</v>
      </c>
      <c r="J295" s="121"/>
      <c r="K295" s="160">
        <f t="shared" ref="K295:M296" si="42">K296</f>
        <v>965</v>
      </c>
      <c r="L295" s="160">
        <f t="shared" si="42"/>
        <v>989.12499999999989</v>
      </c>
      <c r="M295" s="136">
        <f t="shared" si="42"/>
        <v>1013.25</v>
      </c>
      <c r="N295" s="124"/>
      <c r="O295" s="139"/>
    </row>
    <row r="296" spans="2:15" s="123" customFormat="1" ht="47.25">
      <c r="B296" s="120" t="s">
        <v>85</v>
      </c>
      <c r="C296" s="121" t="s">
        <v>104</v>
      </c>
      <c r="D296" s="121" t="s">
        <v>71</v>
      </c>
      <c r="E296" s="121" t="s">
        <v>38</v>
      </c>
      <c r="F296" s="127" t="s">
        <v>293</v>
      </c>
      <c r="G296" s="127" t="s">
        <v>204</v>
      </c>
      <c r="H296" s="127" t="s">
        <v>201</v>
      </c>
      <c r="I296" s="127" t="s">
        <v>313</v>
      </c>
      <c r="J296" s="121" t="s">
        <v>86</v>
      </c>
      <c r="K296" s="160">
        <f t="shared" si="42"/>
        <v>965</v>
      </c>
      <c r="L296" s="160">
        <f t="shared" si="42"/>
        <v>989.12499999999989</v>
      </c>
      <c r="M296" s="136">
        <f t="shared" si="42"/>
        <v>1013.25</v>
      </c>
      <c r="N296" s="124"/>
      <c r="O296" s="139"/>
    </row>
    <row r="297" spans="2:15" s="123" customFormat="1">
      <c r="B297" s="120" t="s">
        <v>107</v>
      </c>
      <c r="C297" s="121" t="s">
        <v>104</v>
      </c>
      <c r="D297" s="121" t="s">
        <v>71</v>
      </c>
      <c r="E297" s="121" t="s">
        <v>38</v>
      </c>
      <c r="F297" s="127" t="s">
        <v>293</v>
      </c>
      <c r="G297" s="127" t="s">
        <v>204</v>
      </c>
      <c r="H297" s="127" t="s">
        <v>201</v>
      </c>
      <c r="I297" s="127" t="s">
        <v>313</v>
      </c>
      <c r="J297" s="121" t="s">
        <v>108</v>
      </c>
      <c r="K297" s="160">
        <f>965</f>
        <v>965</v>
      </c>
      <c r="L297" s="160">
        <f>965*102.5%</f>
        <v>989.12499999999989</v>
      </c>
      <c r="M297" s="136">
        <f>965*105%</f>
        <v>1013.25</v>
      </c>
      <c r="N297" s="124"/>
      <c r="O297" s="125"/>
    </row>
    <row r="298" spans="2:15" s="123" customFormat="1" ht="47.25">
      <c r="B298" s="162" t="s">
        <v>314</v>
      </c>
      <c r="C298" s="121" t="s">
        <v>104</v>
      </c>
      <c r="D298" s="121" t="s">
        <v>71</v>
      </c>
      <c r="E298" s="121" t="s">
        <v>38</v>
      </c>
      <c r="F298" s="127" t="s">
        <v>293</v>
      </c>
      <c r="G298" s="127" t="s">
        <v>204</v>
      </c>
      <c r="H298" s="127" t="s">
        <v>201</v>
      </c>
      <c r="I298" s="127" t="s">
        <v>315</v>
      </c>
      <c r="J298" s="121"/>
      <c r="K298" s="160">
        <f t="shared" ref="K298:M299" si="43">K299</f>
        <v>237133.2</v>
      </c>
      <c r="L298" s="160">
        <f t="shared" si="43"/>
        <v>239368.7</v>
      </c>
      <c r="M298" s="136">
        <f t="shared" si="43"/>
        <v>239368.7</v>
      </c>
      <c r="N298" s="124"/>
      <c r="O298" s="125"/>
    </row>
    <row r="299" spans="2:15" s="123" customFormat="1" ht="47.25">
      <c r="B299" s="120" t="s">
        <v>85</v>
      </c>
      <c r="C299" s="121" t="s">
        <v>104</v>
      </c>
      <c r="D299" s="121" t="s">
        <v>71</v>
      </c>
      <c r="E299" s="121" t="s">
        <v>38</v>
      </c>
      <c r="F299" s="127" t="s">
        <v>293</v>
      </c>
      <c r="G299" s="127" t="s">
        <v>204</v>
      </c>
      <c r="H299" s="127" t="s">
        <v>201</v>
      </c>
      <c r="I299" s="127" t="s">
        <v>315</v>
      </c>
      <c r="J299" s="121" t="s">
        <v>86</v>
      </c>
      <c r="K299" s="160">
        <f t="shared" si="43"/>
        <v>237133.2</v>
      </c>
      <c r="L299" s="160">
        <f t="shared" si="43"/>
        <v>239368.7</v>
      </c>
      <c r="M299" s="136">
        <f t="shared" si="43"/>
        <v>239368.7</v>
      </c>
      <c r="N299" s="124"/>
      <c r="O299" s="125"/>
    </row>
    <row r="300" spans="2:15" s="123" customFormat="1" ht="27.75" customHeight="1">
      <c r="B300" s="120" t="s">
        <v>107</v>
      </c>
      <c r="C300" s="121" t="s">
        <v>104</v>
      </c>
      <c r="D300" s="121" t="s">
        <v>71</v>
      </c>
      <c r="E300" s="121" t="s">
        <v>38</v>
      </c>
      <c r="F300" s="127" t="s">
        <v>293</v>
      </c>
      <c r="G300" s="127" t="s">
        <v>204</v>
      </c>
      <c r="H300" s="127" t="s">
        <v>201</v>
      </c>
      <c r="I300" s="127" t="s">
        <v>315</v>
      </c>
      <c r="J300" s="121" t="s">
        <v>108</v>
      </c>
      <c r="K300" s="160">
        <f>237133.2</f>
        <v>237133.2</v>
      </c>
      <c r="L300" s="160">
        <f>239368.7</f>
        <v>239368.7</v>
      </c>
      <c r="M300" s="136">
        <f>239368.7</f>
        <v>239368.7</v>
      </c>
      <c r="N300" s="124"/>
      <c r="O300" s="125"/>
    </row>
    <row r="301" spans="2:15" s="123" customFormat="1" ht="157.5">
      <c r="B301" s="162" t="s">
        <v>316</v>
      </c>
      <c r="C301" s="121" t="s">
        <v>104</v>
      </c>
      <c r="D301" s="121" t="s">
        <v>71</v>
      </c>
      <c r="E301" s="121" t="s">
        <v>38</v>
      </c>
      <c r="F301" s="127" t="s">
        <v>293</v>
      </c>
      <c r="G301" s="127" t="s">
        <v>204</v>
      </c>
      <c r="H301" s="127" t="s">
        <v>201</v>
      </c>
      <c r="I301" s="127" t="s">
        <v>317</v>
      </c>
      <c r="J301" s="121"/>
      <c r="K301" s="160">
        <f t="shared" ref="K301:M302" si="44">K302</f>
        <v>12688.5</v>
      </c>
      <c r="L301" s="160">
        <f t="shared" si="44"/>
        <v>11588.2</v>
      </c>
      <c r="M301" s="136">
        <f t="shared" si="44"/>
        <v>11588.2</v>
      </c>
      <c r="N301" s="124"/>
      <c r="O301" s="125"/>
    </row>
    <row r="302" spans="2:15" s="123" customFormat="1" ht="47.25">
      <c r="B302" s="120" t="s">
        <v>85</v>
      </c>
      <c r="C302" s="121" t="s">
        <v>104</v>
      </c>
      <c r="D302" s="121" t="s">
        <v>71</v>
      </c>
      <c r="E302" s="121" t="s">
        <v>38</v>
      </c>
      <c r="F302" s="127" t="s">
        <v>293</v>
      </c>
      <c r="G302" s="127" t="s">
        <v>204</v>
      </c>
      <c r="H302" s="127" t="s">
        <v>201</v>
      </c>
      <c r="I302" s="127" t="s">
        <v>317</v>
      </c>
      <c r="J302" s="121" t="s">
        <v>86</v>
      </c>
      <c r="K302" s="160">
        <f t="shared" si="44"/>
        <v>12688.5</v>
      </c>
      <c r="L302" s="160">
        <f t="shared" si="44"/>
        <v>11588.2</v>
      </c>
      <c r="M302" s="136">
        <f t="shared" si="44"/>
        <v>11588.2</v>
      </c>
      <c r="N302" s="124"/>
      <c r="O302" s="125"/>
    </row>
    <row r="303" spans="2:15" s="123" customFormat="1" ht="47.25">
      <c r="B303" s="120" t="s">
        <v>87</v>
      </c>
      <c r="C303" s="121" t="s">
        <v>104</v>
      </c>
      <c r="D303" s="121" t="s">
        <v>71</v>
      </c>
      <c r="E303" s="121" t="s">
        <v>38</v>
      </c>
      <c r="F303" s="127" t="s">
        <v>293</v>
      </c>
      <c r="G303" s="127" t="s">
        <v>204</v>
      </c>
      <c r="H303" s="127" t="s">
        <v>201</v>
      </c>
      <c r="I303" s="127" t="s">
        <v>317</v>
      </c>
      <c r="J303" s="121" t="s">
        <v>88</v>
      </c>
      <c r="K303" s="160">
        <f>12688.5</f>
        <v>12688.5</v>
      </c>
      <c r="L303" s="160">
        <f>11588.2</f>
        <v>11588.2</v>
      </c>
      <c r="M303" s="136">
        <f>11588.2</f>
        <v>11588.2</v>
      </c>
      <c r="N303" s="124"/>
      <c r="O303" s="125"/>
    </row>
    <row r="304" spans="2:15" s="123" customFormat="1" ht="94.5">
      <c r="B304" s="162" t="s">
        <v>112</v>
      </c>
      <c r="C304" s="121" t="s">
        <v>104</v>
      </c>
      <c r="D304" s="121" t="s">
        <v>71</v>
      </c>
      <c r="E304" s="121" t="s">
        <v>38</v>
      </c>
      <c r="F304" s="127" t="s">
        <v>293</v>
      </c>
      <c r="G304" s="127" t="s">
        <v>204</v>
      </c>
      <c r="H304" s="127" t="s">
        <v>201</v>
      </c>
      <c r="I304" s="127" t="s">
        <v>318</v>
      </c>
      <c r="J304" s="121"/>
      <c r="K304" s="160">
        <f t="shared" ref="K304:M305" si="45">K305</f>
        <v>4956.3999999999996</v>
      </c>
      <c r="L304" s="160">
        <f t="shared" si="45"/>
        <v>5098.5</v>
      </c>
      <c r="M304" s="136">
        <f t="shared" si="45"/>
        <v>5098.5</v>
      </c>
      <c r="N304" s="124"/>
      <c r="O304" s="125"/>
    </row>
    <row r="305" spans="2:15" s="123" customFormat="1" ht="47.25">
      <c r="B305" s="120" t="s">
        <v>85</v>
      </c>
      <c r="C305" s="121" t="s">
        <v>104</v>
      </c>
      <c r="D305" s="121" t="s">
        <v>71</v>
      </c>
      <c r="E305" s="121" t="s">
        <v>38</v>
      </c>
      <c r="F305" s="127" t="s">
        <v>293</v>
      </c>
      <c r="G305" s="127" t="s">
        <v>204</v>
      </c>
      <c r="H305" s="127" t="s">
        <v>201</v>
      </c>
      <c r="I305" s="127" t="s">
        <v>318</v>
      </c>
      <c r="J305" s="121" t="s">
        <v>86</v>
      </c>
      <c r="K305" s="160">
        <f t="shared" si="45"/>
        <v>4956.3999999999996</v>
      </c>
      <c r="L305" s="160">
        <f t="shared" si="45"/>
        <v>5098.5</v>
      </c>
      <c r="M305" s="136">
        <f t="shared" si="45"/>
        <v>5098.5</v>
      </c>
      <c r="N305" s="124"/>
      <c r="O305" s="125"/>
    </row>
    <row r="306" spans="2:15" s="123" customFormat="1" ht="27.75" customHeight="1">
      <c r="B306" s="120" t="s">
        <v>107</v>
      </c>
      <c r="C306" s="121" t="s">
        <v>104</v>
      </c>
      <c r="D306" s="121" t="s">
        <v>71</v>
      </c>
      <c r="E306" s="121" t="s">
        <v>38</v>
      </c>
      <c r="F306" s="127" t="s">
        <v>293</v>
      </c>
      <c r="G306" s="127" t="s">
        <v>204</v>
      </c>
      <c r="H306" s="127" t="s">
        <v>201</v>
      </c>
      <c r="I306" s="127" t="s">
        <v>318</v>
      </c>
      <c r="J306" s="121" t="s">
        <v>108</v>
      </c>
      <c r="K306" s="160">
        <f>4956.4</f>
        <v>4956.3999999999996</v>
      </c>
      <c r="L306" s="160">
        <f>5098.5</f>
        <v>5098.5</v>
      </c>
      <c r="M306" s="136">
        <f>5098.5</f>
        <v>5098.5</v>
      </c>
      <c r="N306" s="124"/>
      <c r="O306" s="125"/>
    </row>
    <row r="307" spans="2:15" s="123" customFormat="1" ht="25.5" customHeight="1">
      <c r="B307" s="162" t="s">
        <v>111</v>
      </c>
      <c r="C307" s="121" t="s">
        <v>104</v>
      </c>
      <c r="D307" s="121" t="s">
        <v>71</v>
      </c>
      <c r="E307" s="121" t="s">
        <v>38</v>
      </c>
      <c r="F307" s="127" t="s">
        <v>293</v>
      </c>
      <c r="G307" s="127" t="s">
        <v>6</v>
      </c>
      <c r="H307" s="127" t="s">
        <v>201</v>
      </c>
      <c r="I307" s="127" t="s">
        <v>202</v>
      </c>
      <c r="J307" s="121"/>
      <c r="K307" s="160">
        <f>K308</f>
        <v>9814.9</v>
      </c>
      <c r="L307" s="160">
        <f>L308</f>
        <v>10060.272499999999</v>
      </c>
      <c r="M307" s="136">
        <f>M308</f>
        <v>10305.644999999999</v>
      </c>
      <c r="N307" s="124"/>
      <c r="O307" s="125"/>
    </row>
    <row r="308" spans="2:15" s="123" customFormat="1" ht="47.25">
      <c r="B308" s="162" t="s">
        <v>300</v>
      </c>
      <c r="C308" s="121" t="s">
        <v>104</v>
      </c>
      <c r="D308" s="121" t="s">
        <v>71</v>
      </c>
      <c r="E308" s="121" t="s">
        <v>38</v>
      </c>
      <c r="F308" s="127" t="s">
        <v>293</v>
      </c>
      <c r="G308" s="127" t="s">
        <v>6</v>
      </c>
      <c r="H308" s="127" t="s">
        <v>201</v>
      </c>
      <c r="I308" s="127" t="s">
        <v>301</v>
      </c>
      <c r="J308" s="121"/>
      <c r="K308" s="160">
        <f>K309+K312</f>
        <v>9814.9</v>
      </c>
      <c r="L308" s="160">
        <f>L309+L312</f>
        <v>10060.272499999999</v>
      </c>
      <c r="M308" s="136">
        <f>M309+M312</f>
        <v>10305.644999999999</v>
      </c>
      <c r="N308" s="124"/>
      <c r="O308" s="125"/>
    </row>
    <row r="309" spans="2:15" s="123" customFormat="1" ht="47.25">
      <c r="B309" s="162" t="s">
        <v>302</v>
      </c>
      <c r="C309" s="121" t="s">
        <v>104</v>
      </c>
      <c r="D309" s="121" t="s">
        <v>71</v>
      </c>
      <c r="E309" s="121" t="s">
        <v>38</v>
      </c>
      <c r="F309" s="127" t="s">
        <v>293</v>
      </c>
      <c r="G309" s="127" t="s">
        <v>6</v>
      </c>
      <c r="H309" s="127" t="s">
        <v>201</v>
      </c>
      <c r="I309" s="127" t="s">
        <v>303</v>
      </c>
      <c r="J309" s="121"/>
      <c r="K309" s="160">
        <f t="shared" ref="K309:M310" si="46">K310</f>
        <v>9803.9</v>
      </c>
      <c r="L309" s="160">
        <f t="shared" si="46"/>
        <v>10048.997499999999</v>
      </c>
      <c r="M309" s="136">
        <f t="shared" si="46"/>
        <v>10294.094999999999</v>
      </c>
      <c r="N309" s="124"/>
      <c r="O309" s="125"/>
    </row>
    <row r="310" spans="2:15" s="123" customFormat="1" ht="47.25">
      <c r="B310" s="120" t="s">
        <v>85</v>
      </c>
      <c r="C310" s="121" t="s">
        <v>104</v>
      </c>
      <c r="D310" s="121" t="s">
        <v>71</v>
      </c>
      <c r="E310" s="121" t="s">
        <v>38</v>
      </c>
      <c r="F310" s="127" t="s">
        <v>293</v>
      </c>
      <c r="G310" s="127" t="s">
        <v>6</v>
      </c>
      <c r="H310" s="127" t="s">
        <v>201</v>
      </c>
      <c r="I310" s="127" t="s">
        <v>303</v>
      </c>
      <c r="J310" s="121" t="s">
        <v>86</v>
      </c>
      <c r="K310" s="160">
        <f t="shared" si="46"/>
        <v>9803.9</v>
      </c>
      <c r="L310" s="160">
        <f t="shared" si="46"/>
        <v>10048.997499999999</v>
      </c>
      <c r="M310" s="136">
        <f t="shared" si="46"/>
        <v>10294.094999999999</v>
      </c>
      <c r="N310" s="124"/>
      <c r="O310" s="125"/>
    </row>
    <row r="311" spans="2:15" s="123" customFormat="1">
      <c r="B311" s="120" t="s">
        <v>107</v>
      </c>
      <c r="C311" s="121" t="s">
        <v>104</v>
      </c>
      <c r="D311" s="121" t="s">
        <v>71</v>
      </c>
      <c r="E311" s="121" t="s">
        <v>38</v>
      </c>
      <c r="F311" s="127" t="s">
        <v>293</v>
      </c>
      <c r="G311" s="127" t="s">
        <v>6</v>
      </c>
      <c r="H311" s="127" t="s">
        <v>201</v>
      </c>
      <c r="I311" s="127" t="s">
        <v>303</v>
      </c>
      <c r="J311" s="121" t="s">
        <v>108</v>
      </c>
      <c r="K311" s="160">
        <f>(10267.9-464)</f>
        <v>9803.9</v>
      </c>
      <c r="L311" s="160">
        <f>(10267.9-464)*102.5%</f>
        <v>10048.997499999999</v>
      </c>
      <c r="M311" s="136">
        <f>(10267.9-464)*105%</f>
        <v>10294.094999999999</v>
      </c>
      <c r="N311" s="124"/>
      <c r="O311" s="125"/>
    </row>
    <row r="312" spans="2:15" s="123" customFormat="1" ht="47.25">
      <c r="B312" s="162" t="s">
        <v>312</v>
      </c>
      <c r="C312" s="121" t="s">
        <v>104</v>
      </c>
      <c r="D312" s="121" t="s">
        <v>71</v>
      </c>
      <c r="E312" s="121" t="s">
        <v>38</v>
      </c>
      <c r="F312" s="127" t="s">
        <v>293</v>
      </c>
      <c r="G312" s="127" t="s">
        <v>6</v>
      </c>
      <c r="H312" s="127" t="s">
        <v>201</v>
      </c>
      <c r="I312" s="127" t="s">
        <v>313</v>
      </c>
      <c r="J312" s="121"/>
      <c r="K312" s="160">
        <f t="shared" ref="K312:M313" si="47">K313</f>
        <v>11</v>
      </c>
      <c r="L312" s="160">
        <f t="shared" si="47"/>
        <v>11.274999999999999</v>
      </c>
      <c r="M312" s="136">
        <f t="shared" si="47"/>
        <v>11.55</v>
      </c>
      <c r="N312" s="124"/>
      <c r="O312" s="125"/>
    </row>
    <row r="313" spans="2:15" s="123" customFormat="1" ht="47.25">
      <c r="B313" s="120" t="s">
        <v>85</v>
      </c>
      <c r="C313" s="121" t="s">
        <v>104</v>
      </c>
      <c r="D313" s="121" t="s">
        <v>71</v>
      </c>
      <c r="E313" s="121" t="s">
        <v>38</v>
      </c>
      <c r="F313" s="127" t="s">
        <v>293</v>
      </c>
      <c r="G313" s="127" t="s">
        <v>6</v>
      </c>
      <c r="H313" s="127" t="s">
        <v>201</v>
      </c>
      <c r="I313" s="127" t="s">
        <v>313</v>
      </c>
      <c r="J313" s="121" t="s">
        <v>86</v>
      </c>
      <c r="K313" s="160">
        <f t="shared" si="47"/>
        <v>11</v>
      </c>
      <c r="L313" s="160">
        <f t="shared" si="47"/>
        <v>11.274999999999999</v>
      </c>
      <c r="M313" s="136">
        <f t="shared" si="47"/>
        <v>11.55</v>
      </c>
      <c r="N313" s="124"/>
      <c r="O313" s="125"/>
    </row>
    <row r="314" spans="2:15" s="123" customFormat="1">
      <c r="B314" s="120" t="s">
        <v>107</v>
      </c>
      <c r="C314" s="121" t="s">
        <v>104</v>
      </c>
      <c r="D314" s="121" t="s">
        <v>71</v>
      </c>
      <c r="E314" s="121" t="s">
        <v>38</v>
      </c>
      <c r="F314" s="127" t="s">
        <v>293</v>
      </c>
      <c r="G314" s="127" t="s">
        <v>6</v>
      </c>
      <c r="H314" s="127" t="s">
        <v>201</v>
      </c>
      <c r="I314" s="127" t="s">
        <v>313</v>
      </c>
      <c r="J314" s="121" t="s">
        <v>108</v>
      </c>
      <c r="K314" s="160">
        <f>11</f>
        <v>11</v>
      </c>
      <c r="L314" s="160">
        <f>11*102.5%</f>
        <v>11.274999999999999</v>
      </c>
      <c r="M314" s="136">
        <f>11*105%</f>
        <v>11.55</v>
      </c>
      <c r="N314" s="124"/>
      <c r="O314" s="125"/>
    </row>
    <row r="315" spans="2:15" s="123" customFormat="1" ht="31.5">
      <c r="B315" s="114" t="s">
        <v>113</v>
      </c>
      <c r="C315" s="115" t="s">
        <v>104</v>
      </c>
      <c r="D315" s="115" t="s">
        <v>71</v>
      </c>
      <c r="E315" s="115" t="s">
        <v>71</v>
      </c>
      <c r="F315" s="115"/>
      <c r="G315" s="115"/>
      <c r="H315" s="115"/>
      <c r="I315" s="115"/>
      <c r="J315" s="115"/>
      <c r="K315" s="161">
        <f>K316+K327</f>
        <v>4161.1000000000004</v>
      </c>
      <c r="L315" s="161">
        <f>L316+L327</f>
        <v>4265.1274999999996</v>
      </c>
      <c r="M315" s="137">
        <f>M316+M327</f>
        <v>4369.1550000000007</v>
      </c>
      <c r="N315" s="124"/>
      <c r="O315" s="125"/>
    </row>
    <row r="316" spans="2:15" s="123" customFormat="1" ht="47.25">
      <c r="B316" s="162" t="s">
        <v>292</v>
      </c>
      <c r="C316" s="121" t="s">
        <v>104</v>
      </c>
      <c r="D316" s="121" t="s">
        <v>71</v>
      </c>
      <c r="E316" s="121" t="s">
        <v>71</v>
      </c>
      <c r="F316" s="127" t="s">
        <v>293</v>
      </c>
      <c r="G316" s="127" t="s">
        <v>200</v>
      </c>
      <c r="H316" s="127" t="s">
        <v>201</v>
      </c>
      <c r="I316" s="127" t="s">
        <v>202</v>
      </c>
      <c r="J316" s="121"/>
      <c r="K316" s="160">
        <f>K317+K321</f>
        <v>1520.2</v>
      </c>
      <c r="L316" s="160">
        <f>L317+L321</f>
        <v>1558.2049999999999</v>
      </c>
      <c r="M316" s="136">
        <f>M317+M321</f>
        <v>1596.21</v>
      </c>
      <c r="N316" s="124"/>
      <c r="O316" s="125"/>
    </row>
    <row r="317" spans="2:15" s="123" customFormat="1" ht="31.5">
      <c r="B317" s="162" t="s">
        <v>110</v>
      </c>
      <c r="C317" s="121" t="s">
        <v>104</v>
      </c>
      <c r="D317" s="121" t="s">
        <v>71</v>
      </c>
      <c r="E317" s="121" t="s">
        <v>71</v>
      </c>
      <c r="F317" s="127" t="s">
        <v>293</v>
      </c>
      <c r="G317" s="127" t="s">
        <v>204</v>
      </c>
      <c r="H317" s="127" t="s">
        <v>201</v>
      </c>
      <c r="I317" s="127" t="s">
        <v>202</v>
      </c>
      <c r="J317" s="121"/>
      <c r="K317" s="160">
        <f t="shared" ref="K317:M319" si="48">K318</f>
        <v>953.5</v>
      </c>
      <c r="L317" s="160">
        <f t="shared" si="48"/>
        <v>977.33749999999986</v>
      </c>
      <c r="M317" s="136">
        <f t="shared" si="48"/>
        <v>1001.1750000000001</v>
      </c>
      <c r="N317" s="124"/>
      <c r="O317" s="125"/>
    </row>
    <row r="318" spans="2:15" s="123" customFormat="1" ht="78.75">
      <c r="B318" s="162" t="s">
        <v>115</v>
      </c>
      <c r="C318" s="121" t="s">
        <v>104</v>
      </c>
      <c r="D318" s="121" t="s">
        <v>71</v>
      </c>
      <c r="E318" s="121" t="s">
        <v>71</v>
      </c>
      <c r="F318" s="127" t="s">
        <v>293</v>
      </c>
      <c r="G318" s="127" t="s">
        <v>204</v>
      </c>
      <c r="H318" s="127" t="s">
        <v>201</v>
      </c>
      <c r="I318" s="127" t="s">
        <v>319</v>
      </c>
      <c r="J318" s="121"/>
      <c r="K318" s="160">
        <f t="shared" si="48"/>
        <v>953.5</v>
      </c>
      <c r="L318" s="160">
        <f t="shared" si="48"/>
        <v>977.33749999999986</v>
      </c>
      <c r="M318" s="136">
        <f t="shared" si="48"/>
        <v>1001.1750000000001</v>
      </c>
      <c r="N318" s="124"/>
      <c r="O318" s="125"/>
    </row>
    <row r="319" spans="2:15" s="123" customFormat="1" ht="47.25">
      <c r="B319" s="120" t="s">
        <v>85</v>
      </c>
      <c r="C319" s="121" t="s">
        <v>104</v>
      </c>
      <c r="D319" s="121" t="s">
        <v>71</v>
      </c>
      <c r="E319" s="121" t="s">
        <v>71</v>
      </c>
      <c r="F319" s="127" t="s">
        <v>293</v>
      </c>
      <c r="G319" s="127" t="s">
        <v>204</v>
      </c>
      <c r="H319" s="127" t="s">
        <v>201</v>
      </c>
      <c r="I319" s="127" t="s">
        <v>319</v>
      </c>
      <c r="J319" s="121" t="s">
        <v>86</v>
      </c>
      <c r="K319" s="160">
        <f t="shared" si="48"/>
        <v>953.5</v>
      </c>
      <c r="L319" s="160">
        <f t="shared" si="48"/>
        <v>977.33749999999986</v>
      </c>
      <c r="M319" s="136">
        <f t="shared" si="48"/>
        <v>1001.1750000000001</v>
      </c>
      <c r="N319" s="124"/>
      <c r="O319" s="125"/>
    </row>
    <row r="320" spans="2:15" s="123" customFormat="1">
      <c r="B320" s="120" t="s">
        <v>107</v>
      </c>
      <c r="C320" s="121" t="s">
        <v>104</v>
      </c>
      <c r="D320" s="121" t="s">
        <v>71</v>
      </c>
      <c r="E320" s="121" t="s">
        <v>71</v>
      </c>
      <c r="F320" s="127" t="s">
        <v>293</v>
      </c>
      <c r="G320" s="127" t="s">
        <v>204</v>
      </c>
      <c r="H320" s="127" t="s">
        <v>201</v>
      </c>
      <c r="I320" s="127" t="s">
        <v>319</v>
      </c>
      <c r="J320" s="121" t="s">
        <v>108</v>
      </c>
      <c r="K320" s="160">
        <f>953.5</f>
        <v>953.5</v>
      </c>
      <c r="L320" s="160">
        <f>953.5*102.5%</f>
        <v>977.33749999999986</v>
      </c>
      <c r="M320" s="136">
        <f>953.5*105%</f>
        <v>1001.1750000000001</v>
      </c>
      <c r="N320" s="124"/>
      <c r="O320" s="125"/>
    </row>
    <row r="321" spans="2:15" s="123" customFormat="1" ht="31.5">
      <c r="B321" s="162" t="s">
        <v>114</v>
      </c>
      <c r="C321" s="121" t="s">
        <v>104</v>
      </c>
      <c r="D321" s="121" t="s">
        <v>71</v>
      </c>
      <c r="E321" s="121" t="s">
        <v>71</v>
      </c>
      <c r="F321" s="127" t="s">
        <v>293</v>
      </c>
      <c r="G321" s="127" t="s">
        <v>320</v>
      </c>
      <c r="H321" s="127" t="s">
        <v>201</v>
      </c>
      <c r="I321" s="127" t="s">
        <v>202</v>
      </c>
      <c r="J321" s="121"/>
      <c r="K321" s="160">
        <f>K322</f>
        <v>566.70000000000005</v>
      </c>
      <c r="L321" s="160">
        <f>L322</f>
        <v>580.86749999999995</v>
      </c>
      <c r="M321" s="136">
        <f>M322</f>
        <v>595.03500000000008</v>
      </c>
      <c r="N321" s="124"/>
      <c r="O321" s="125"/>
    </row>
    <row r="322" spans="2:15" s="123" customFormat="1" ht="31.5">
      <c r="B322" s="162" t="s">
        <v>295</v>
      </c>
      <c r="C322" s="121" t="s">
        <v>104</v>
      </c>
      <c r="D322" s="121" t="s">
        <v>71</v>
      </c>
      <c r="E322" s="121" t="s">
        <v>71</v>
      </c>
      <c r="F322" s="127" t="s">
        <v>293</v>
      </c>
      <c r="G322" s="127" t="s">
        <v>320</v>
      </c>
      <c r="H322" s="127" t="s">
        <v>201</v>
      </c>
      <c r="I322" s="127" t="s">
        <v>296</v>
      </c>
      <c r="J322" s="121"/>
      <c r="K322" s="160">
        <f>K323+K325</f>
        <v>566.70000000000005</v>
      </c>
      <c r="L322" s="160">
        <f>L323+L325</f>
        <v>580.86749999999995</v>
      </c>
      <c r="M322" s="136">
        <f>M323+M325</f>
        <v>595.03500000000008</v>
      </c>
      <c r="N322" s="124"/>
      <c r="O322" s="125"/>
    </row>
    <row r="323" spans="2:15" s="123" customFormat="1" ht="94.5">
      <c r="B323" s="120" t="s">
        <v>17</v>
      </c>
      <c r="C323" s="121" t="s">
        <v>104</v>
      </c>
      <c r="D323" s="121" t="s">
        <v>71</v>
      </c>
      <c r="E323" s="121" t="s">
        <v>71</v>
      </c>
      <c r="F323" s="127" t="s">
        <v>293</v>
      </c>
      <c r="G323" s="127" t="s">
        <v>320</v>
      </c>
      <c r="H323" s="127" t="s">
        <v>201</v>
      </c>
      <c r="I323" s="127" t="s">
        <v>296</v>
      </c>
      <c r="J323" s="121" t="s">
        <v>18</v>
      </c>
      <c r="K323" s="160">
        <f>K324</f>
        <v>342.2</v>
      </c>
      <c r="L323" s="160">
        <f>L324</f>
        <v>350.75499999999994</v>
      </c>
      <c r="M323" s="136">
        <f>M324</f>
        <v>359.31</v>
      </c>
      <c r="N323" s="124"/>
      <c r="O323" s="125"/>
    </row>
    <row r="324" spans="2:15" s="123" customFormat="1" ht="31.5">
      <c r="B324" s="120" t="s">
        <v>19</v>
      </c>
      <c r="C324" s="121" t="s">
        <v>104</v>
      </c>
      <c r="D324" s="121" t="s">
        <v>71</v>
      </c>
      <c r="E324" s="121" t="s">
        <v>71</v>
      </c>
      <c r="F324" s="127" t="s">
        <v>293</v>
      </c>
      <c r="G324" s="127" t="s">
        <v>320</v>
      </c>
      <c r="H324" s="127" t="s">
        <v>201</v>
      </c>
      <c r="I324" s="127" t="s">
        <v>296</v>
      </c>
      <c r="J324" s="121" t="s">
        <v>103</v>
      </c>
      <c r="K324" s="160">
        <f>(350.2-8)</f>
        <v>342.2</v>
      </c>
      <c r="L324" s="160">
        <f>(350.2-8)*102.5%</f>
        <v>350.75499999999994</v>
      </c>
      <c r="M324" s="136">
        <f>(350.2-8)*105%</f>
        <v>359.31</v>
      </c>
      <c r="N324" s="124"/>
      <c r="O324" s="125"/>
    </row>
    <row r="325" spans="2:15" s="123" customFormat="1" ht="47.25">
      <c r="B325" s="120" t="s">
        <v>206</v>
      </c>
      <c r="C325" s="121" t="s">
        <v>104</v>
      </c>
      <c r="D325" s="121" t="s">
        <v>71</v>
      </c>
      <c r="E325" s="121" t="s">
        <v>71</v>
      </c>
      <c r="F325" s="127" t="s">
        <v>293</v>
      </c>
      <c r="G325" s="127" t="s">
        <v>320</v>
      </c>
      <c r="H325" s="127" t="s">
        <v>201</v>
      </c>
      <c r="I325" s="127" t="s">
        <v>296</v>
      </c>
      <c r="J325" s="121" t="s">
        <v>22</v>
      </c>
      <c r="K325" s="160">
        <f>K326</f>
        <v>224.5</v>
      </c>
      <c r="L325" s="160">
        <f>L326</f>
        <v>230.11249999999998</v>
      </c>
      <c r="M325" s="136">
        <f>M326</f>
        <v>235.72500000000002</v>
      </c>
      <c r="N325" s="124"/>
      <c r="O325" s="125"/>
    </row>
    <row r="326" spans="2:15" s="123" customFormat="1" ht="47.25">
      <c r="B326" s="120" t="s">
        <v>23</v>
      </c>
      <c r="C326" s="121" t="s">
        <v>104</v>
      </c>
      <c r="D326" s="121" t="s">
        <v>71</v>
      </c>
      <c r="E326" s="121" t="s">
        <v>71</v>
      </c>
      <c r="F326" s="127" t="s">
        <v>293</v>
      </c>
      <c r="G326" s="127" t="s">
        <v>320</v>
      </c>
      <c r="H326" s="127" t="s">
        <v>201</v>
      </c>
      <c r="I326" s="127" t="s">
        <v>296</v>
      </c>
      <c r="J326" s="121" t="s">
        <v>24</v>
      </c>
      <c r="K326" s="160">
        <f>219.3+5.2</f>
        <v>224.5</v>
      </c>
      <c r="L326" s="160">
        <f>(219.3+5.2)*102.5%</f>
        <v>230.11249999999998</v>
      </c>
      <c r="M326" s="136">
        <f>(219.3+5.2)*105%</f>
        <v>235.72500000000002</v>
      </c>
      <c r="N326" s="124"/>
      <c r="O326" s="125"/>
    </row>
    <row r="327" spans="2:15" s="123" customFormat="1" ht="47.25">
      <c r="B327" s="162" t="s">
        <v>245</v>
      </c>
      <c r="C327" s="121" t="s">
        <v>104</v>
      </c>
      <c r="D327" s="121" t="s">
        <v>71</v>
      </c>
      <c r="E327" s="121" t="s">
        <v>71</v>
      </c>
      <c r="F327" s="127" t="s">
        <v>246</v>
      </c>
      <c r="G327" s="127" t="s">
        <v>200</v>
      </c>
      <c r="H327" s="127" t="s">
        <v>201</v>
      </c>
      <c r="I327" s="127" t="s">
        <v>202</v>
      </c>
      <c r="J327" s="121"/>
      <c r="K327" s="160">
        <f t="shared" ref="K327:M330" si="49">K328</f>
        <v>2640.9</v>
      </c>
      <c r="L327" s="160">
        <f t="shared" si="49"/>
        <v>2706.9224999999997</v>
      </c>
      <c r="M327" s="136">
        <f t="shared" si="49"/>
        <v>2772.9450000000002</v>
      </c>
      <c r="N327" s="124"/>
      <c r="O327" s="125"/>
    </row>
    <row r="328" spans="2:15" s="123" customFormat="1" ht="17.25" customHeight="1">
      <c r="B328" s="162" t="s">
        <v>76</v>
      </c>
      <c r="C328" s="121" t="s">
        <v>104</v>
      </c>
      <c r="D328" s="121" t="s">
        <v>71</v>
      </c>
      <c r="E328" s="121" t="s">
        <v>71</v>
      </c>
      <c r="F328" s="127" t="s">
        <v>246</v>
      </c>
      <c r="G328" s="127" t="s">
        <v>204</v>
      </c>
      <c r="H328" s="127" t="s">
        <v>201</v>
      </c>
      <c r="I328" s="127" t="s">
        <v>202</v>
      </c>
      <c r="J328" s="121"/>
      <c r="K328" s="160">
        <f t="shared" si="49"/>
        <v>2640.9</v>
      </c>
      <c r="L328" s="160">
        <f t="shared" si="49"/>
        <v>2706.9224999999997</v>
      </c>
      <c r="M328" s="136">
        <f t="shared" si="49"/>
        <v>2772.9450000000002</v>
      </c>
      <c r="N328" s="124"/>
      <c r="O328" s="125"/>
    </row>
    <row r="329" spans="2:15" s="123" customFormat="1" ht="47.25">
      <c r="B329" s="162" t="s">
        <v>116</v>
      </c>
      <c r="C329" s="121" t="s">
        <v>104</v>
      </c>
      <c r="D329" s="121" t="s">
        <v>71</v>
      </c>
      <c r="E329" s="121" t="s">
        <v>71</v>
      </c>
      <c r="F329" s="127" t="s">
        <v>246</v>
      </c>
      <c r="G329" s="127" t="s">
        <v>204</v>
      </c>
      <c r="H329" s="127" t="s">
        <v>201</v>
      </c>
      <c r="I329" s="127" t="s">
        <v>321</v>
      </c>
      <c r="J329" s="121"/>
      <c r="K329" s="160">
        <f t="shared" si="49"/>
        <v>2640.9</v>
      </c>
      <c r="L329" s="160">
        <f t="shared" si="49"/>
        <v>2706.9224999999997</v>
      </c>
      <c r="M329" s="136">
        <f t="shared" si="49"/>
        <v>2772.9450000000002</v>
      </c>
      <c r="N329" s="124"/>
      <c r="O329" s="125"/>
    </row>
    <row r="330" spans="2:15" s="123" customFormat="1" ht="31.5">
      <c r="B330" s="120" t="s">
        <v>77</v>
      </c>
      <c r="C330" s="121" t="s">
        <v>104</v>
      </c>
      <c r="D330" s="121" t="s">
        <v>71</v>
      </c>
      <c r="E330" s="121" t="s">
        <v>71</v>
      </c>
      <c r="F330" s="127" t="s">
        <v>246</v>
      </c>
      <c r="G330" s="127" t="s">
        <v>204</v>
      </c>
      <c r="H330" s="127" t="s">
        <v>201</v>
      </c>
      <c r="I330" s="127" t="s">
        <v>321</v>
      </c>
      <c r="J330" s="121" t="s">
        <v>78</v>
      </c>
      <c r="K330" s="160">
        <f t="shared" si="49"/>
        <v>2640.9</v>
      </c>
      <c r="L330" s="160">
        <f t="shared" si="49"/>
        <v>2706.9224999999997</v>
      </c>
      <c r="M330" s="136">
        <f t="shared" si="49"/>
        <v>2772.9450000000002</v>
      </c>
      <c r="N330" s="124"/>
      <c r="O330" s="125"/>
    </row>
    <row r="331" spans="2:15" s="123" customFormat="1" ht="31.5">
      <c r="B331" s="120" t="s">
        <v>98</v>
      </c>
      <c r="C331" s="121" t="s">
        <v>104</v>
      </c>
      <c r="D331" s="121" t="s">
        <v>71</v>
      </c>
      <c r="E331" s="121" t="s">
        <v>71</v>
      </c>
      <c r="F331" s="127" t="s">
        <v>246</v>
      </c>
      <c r="G331" s="127" t="s">
        <v>204</v>
      </c>
      <c r="H331" s="127" t="s">
        <v>201</v>
      </c>
      <c r="I331" s="127" t="s">
        <v>321</v>
      </c>
      <c r="J331" s="121" t="s">
        <v>99</v>
      </c>
      <c r="K331" s="160">
        <f>2640.9</f>
        <v>2640.9</v>
      </c>
      <c r="L331" s="160">
        <f>2640.9*102.5%</f>
        <v>2706.9224999999997</v>
      </c>
      <c r="M331" s="136">
        <f>2640.9*105%</f>
        <v>2772.9450000000002</v>
      </c>
      <c r="N331" s="124"/>
      <c r="O331" s="125"/>
    </row>
    <row r="332" spans="2:15" s="123" customFormat="1">
      <c r="B332" s="114" t="s">
        <v>117</v>
      </c>
      <c r="C332" s="115" t="s">
        <v>104</v>
      </c>
      <c r="D332" s="115" t="s">
        <v>71</v>
      </c>
      <c r="E332" s="115" t="s">
        <v>92</v>
      </c>
      <c r="F332" s="115"/>
      <c r="G332" s="115"/>
      <c r="H332" s="115"/>
      <c r="I332" s="115"/>
      <c r="J332" s="115"/>
      <c r="K332" s="161">
        <f>K333+K444+K451</f>
        <v>20348.299999999996</v>
      </c>
      <c r="L332" s="161">
        <f>L333+L444+L451</f>
        <v>20870.482499999998</v>
      </c>
      <c r="M332" s="137">
        <f>M333+M444+M451</f>
        <v>21360.765000000003</v>
      </c>
      <c r="N332" s="124"/>
      <c r="O332" s="125"/>
    </row>
    <row r="333" spans="2:15" s="117" customFormat="1" ht="47.25">
      <c r="B333" s="163" t="s">
        <v>322</v>
      </c>
      <c r="C333" s="115" t="s">
        <v>104</v>
      </c>
      <c r="D333" s="115" t="s">
        <v>71</v>
      </c>
      <c r="E333" s="115" t="s">
        <v>92</v>
      </c>
      <c r="F333" s="141">
        <v>71</v>
      </c>
      <c r="G333" s="141" t="s">
        <v>201</v>
      </c>
      <c r="H333" s="141" t="s">
        <v>201</v>
      </c>
      <c r="I333" s="141" t="s">
        <v>202</v>
      </c>
      <c r="J333" s="115"/>
      <c r="K333" s="161">
        <f>K334+K339+K384+K413+K430+K439</f>
        <v>500</v>
      </c>
      <c r="L333" s="161">
        <f>L334+L339+L384+L413+L430+L439</f>
        <v>512.5</v>
      </c>
      <c r="M333" s="137">
        <f>M334+M339+M384+M413+M430+M439</f>
        <v>525</v>
      </c>
      <c r="N333" s="118"/>
      <c r="O333" s="119"/>
    </row>
    <row r="334" spans="2:15" s="123" customFormat="1" ht="31.5">
      <c r="B334" s="162" t="s">
        <v>323</v>
      </c>
      <c r="C334" s="121" t="s">
        <v>104</v>
      </c>
      <c r="D334" s="121" t="s">
        <v>71</v>
      </c>
      <c r="E334" s="121" t="s">
        <v>92</v>
      </c>
      <c r="F334" s="129" t="s">
        <v>324</v>
      </c>
      <c r="G334" s="129" t="s">
        <v>223</v>
      </c>
      <c r="H334" s="129" t="s">
        <v>201</v>
      </c>
      <c r="I334" s="129" t="s">
        <v>202</v>
      </c>
      <c r="J334" s="121"/>
      <c r="K334" s="160">
        <f t="shared" ref="K334:M337" si="50">K335</f>
        <v>10</v>
      </c>
      <c r="L334" s="160">
        <f t="shared" si="50"/>
        <v>10.25</v>
      </c>
      <c r="M334" s="136">
        <f t="shared" si="50"/>
        <v>10.5</v>
      </c>
      <c r="N334" s="124"/>
      <c r="O334" s="125"/>
    </row>
    <row r="335" spans="2:15" s="123" customFormat="1" ht="126">
      <c r="B335" s="162" t="s">
        <v>325</v>
      </c>
      <c r="C335" s="121" t="s">
        <v>104</v>
      </c>
      <c r="D335" s="121" t="s">
        <v>71</v>
      </c>
      <c r="E335" s="121" t="s">
        <v>92</v>
      </c>
      <c r="F335" s="129" t="s">
        <v>324</v>
      </c>
      <c r="G335" s="129" t="s">
        <v>223</v>
      </c>
      <c r="H335" s="129" t="s">
        <v>62</v>
      </c>
      <c r="I335" s="129" t="s">
        <v>202</v>
      </c>
      <c r="J335" s="121"/>
      <c r="K335" s="160">
        <f t="shared" si="50"/>
        <v>10</v>
      </c>
      <c r="L335" s="160">
        <f t="shared" si="50"/>
        <v>10.25</v>
      </c>
      <c r="M335" s="136">
        <f t="shared" si="50"/>
        <v>10.5</v>
      </c>
      <c r="N335" s="124"/>
      <c r="O335" s="125"/>
    </row>
    <row r="336" spans="2:15" s="123" customFormat="1">
      <c r="B336" s="162" t="s">
        <v>240</v>
      </c>
      <c r="C336" s="121" t="s">
        <v>104</v>
      </c>
      <c r="D336" s="121" t="s">
        <v>71</v>
      </c>
      <c r="E336" s="121" t="s">
        <v>92</v>
      </c>
      <c r="F336" s="129" t="s">
        <v>324</v>
      </c>
      <c r="G336" s="129" t="s">
        <v>223</v>
      </c>
      <c r="H336" s="129" t="s">
        <v>62</v>
      </c>
      <c r="I336" s="129" t="s">
        <v>202</v>
      </c>
      <c r="J336" s="121"/>
      <c r="K336" s="160">
        <f t="shared" si="50"/>
        <v>10</v>
      </c>
      <c r="L336" s="160">
        <f t="shared" si="50"/>
        <v>10.25</v>
      </c>
      <c r="M336" s="136">
        <f t="shared" si="50"/>
        <v>10.5</v>
      </c>
      <c r="N336" s="124"/>
      <c r="O336" s="125"/>
    </row>
    <row r="337" spans="2:15" s="123" customFormat="1" ht="47.25">
      <c r="B337" s="120" t="s">
        <v>206</v>
      </c>
      <c r="C337" s="121" t="s">
        <v>104</v>
      </c>
      <c r="D337" s="121" t="s">
        <v>71</v>
      </c>
      <c r="E337" s="121" t="s">
        <v>92</v>
      </c>
      <c r="F337" s="129" t="s">
        <v>324</v>
      </c>
      <c r="G337" s="129" t="s">
        <v>223</v>
      </c>
      <c r="H337" s="129" t="s">
        <v>62</v>
      </c>
      <c r="I337" s="129" t="s">
        <v>202</v>
      </c>
      <c r="J337" s="121" t="s">
        <v>22</v>
      </c>
      <c r="K337" s="160">
        <f t="shared" si="50"/>
        <v>10</v>
      </c>
      <c r="L337" s="160">
        <f t="shared" si="50"/>
        <v>10.25</v>
      </c>
      <c r="M337" s="136">
        <f t="shared" si="50"/>
        <v>10.5</v>
      </c>
      <c r="N337" s="124"/>
      <c r="O337" s="125"/>
    </row>
    <row r="338" spans="2:15" s="123" customFormat="1" ht="47.25">
      <c r="B338" s="120" t="s">
        <v>23</v>
      </c>
      <c r="C338" s="121" t="s">
        <v>104</v>
      </c>
      <c r="D338" s="121" t="s">
        <v>71</v>
      </c>
      <c r="E338" s="121" t="s">
        <v>92</v>
      </c>
      <c r="F338" s="129" t="s">
        <v>324</v>
      </c>
      <c r="G338" s="129" t="s">
        <v>223</v>
      </c>
      <c r="H338" s="129" t="s">
        <v>62</v>
      </c>
      <c r="I338" s="129" t="s">
        <v>202</v>
      </c>
      <c r="J338" s="121" t="s">
        <v>24</v>
      </c>
      <c r="K338" s="160">
        <f>10</f>
        <v>10</v>
      </c>
      <c r="L338" s="160">
        <f>10*102.5%</f>
        <v>10.25</v>
      </c>
      <c r="M338" s="136">
        <f>10*105%</f>
        <v>10.5</v>
      </c>
      <c r="N338" s="124"/>
      <c r="O338" s="125"/>
    </row>
    <row r="339" spans="2:15" s="123" customFormat="1" ht="31.5">
      <c r="B339" s="162" t="s">
        <v>326</v>
      </c>
      <c r="C339" s="121" t="s">
        <v>104</v>
      </c>
      <c r="D339" s="121" t="s">
        <v>71</v>
      </c>
      <c r="E339" s="121" t="s">
        <v>92</v>
      </c>
      <c r="F339" s="129" t="s">
        <v>324</v>
      </c>
      <c r="G339" s="129" t="s">
        <v>204</v>
      </c>
      <c r="H339" s="129" t="s">
        <v>201</v>
      </c>
      <c r="I339" s="129" t="s">
        <v>202</v>
      </c>
      <c r="J339" s="138"/>
      <c r="K339" s="160">
        <f>K340+K344+K348+K352+K356+K360+K364+K368+K372+K376+K380</f>
        <v>188.5</v>
      </c>
      <c r="L339" s="160">
        <f>L340+L344+L348+L352+L356+L360+L364+L368+L372+L376+L380</f>
        <v>193.21249999999998</v>
      </c>
      <c r="M339" s="136">
        <f>M340+M344+M348+M352+M356+M360+M364+M368+M372+M376+M380</f>
        <v>197.92500000000001</v>
      </c>
      <c r="N339" s="124"/>
      <c r="O339" s="125"/>
    </row>
    <row r="340" spans="2:15" s="123" customFormat="1" ht="94.5">
      <c r="B340" s="162" t="s">
        <v>327</v>
      </c>
      <c r="C340" s="121" t="s">
        <v>104</v>
      </c>
      <c r="D340" s="121" t="s">
        <v>71</v>
      </c>
      <c r="E340" s="121" t="s">
        <v>92</v>
      </c>
      <c r="F340" s="129" t="s">
        <v>324</v>
      </c>
      <c r="G340" s="129" t="s">
        <v>204</v>
      </c>
      <c r="H340" s="129" t="s">
        <v>39</v>
      </c>
      <c r="I340" s="129" t="s">
        <v>202</v>
      </c>
      <c r="J340" s="138"/>
      <c r="K340" s="160">
        <f t="shared" ref="K340:M342" si="51">K341</f>
        <v>40</v>
      </c>
      <c r="L340" s="160">
        <f t="shared" si="51"/>
        <v>41</v>
      </c>
      <c r="M340" s="136">
        <f t="shared" si="51"/>
        <v>42</v>
      </c>
      <c r="N340" s="124"/>
      <c r="O340" s="125"/>
    </row>
    <row r="341" spans="2:15" s="123" customFormat="1">
      <c r="B341" s="162" t="s">
        <v>240</v>
      </c>
      <c r="C341" s="121" t="s">
        <v>104</v>
      </c>
      <c r="D341" s="121" t="s">
        <v>71</v>
      </c>
      <c r="E341" s="121" t="s">
        <v>92</v>
      </c>
      <c r="F341" s="129" t="s">
        <v>324</v>
      </c>
      <c r="G341" s="129" t="s">
        <v>204</v>
      </c>
      <c r="H341" s="129" t="s">
        <v>39</v>
      </c>
      <c r="I341" s="129" t="s">
        <v>241</v>
      </c>
      <c r="J341" s="138"/>
      <c r="K341" s="160">
        <f t="shared" si="51"/>
        <v>40</v>
      </c>
      <c r="L341" s="160">
        <f t="shared" si="51"/>
        <v>41</v>
      </c>
      <c r="M341" s="136">
        <f t="shared" si="51"/>
        <v>42</v>
      </c>
      <c r="N341" s="124"/>
      <c r="O341" s="125"/>
    </row>
    <row r="342" spans="2:15" s="123" customFormat="1" ht="47.25">
      <c r="B342" s="120" t="s">
        <v>206</v>
      </c>
      <c r="C342" s="121" t="s">
        <v>104</v>
      </c>
      <c r="D342" s="121" t="s">
        <v>71</v>
      </c>
      <c r="E342" s="121" t="s">
        <v>92</v>
      </c>
      <c r="F342" s="129" t="s">
        <v>324</v>
      </c>
      <c r="G342" s="129" t="s">
        <v>204</v>
      </c>
      <c r="H342" s="129" t="s">
        <v>39</v>
      </c>
      <c r="I342" s="129" t="s">
        <v>241</v>
      </c>
      <c r="J342" s="121" t="s">
        <v>22</v>
      </c>
      <c r="K342" s="160">
        <f t="shared" si="51"/>
        <v>40</v>
      </c>
      <c r="L342" s="160">
        <f t="shared" si="51"/>
        <v>41</v>
      </c>
      <c r="M342" s="136">
        <f t="shared" si="51"/>
        <v>42</v>
      </c>
      <c r="N342" s="124"/>
      <c r="O342" s="125"/>
    </row>
    <row r="343" spans="2:15" s="123" customFormat="1" ht="47.25">
      <c r="B343" s="120" t="s">
        <v>23</v>
      </c>
      <c r="C343" s="121" t="s">
        <v>104</v>
      </c>
      <c r="D343" s="121" t="s">
        <v>71</v>
      </c>
      <c r="E343" s="121" t="s">
        <v>92</v>
      </c>
      <c r="F343" s="129" t="s">
        <v>324</v>
      </c>
      <c r="G343" s="129" t="s">
        <v>204</v>
      </c>
      <c r="H343" s="129" t="s">
        <v>39</v>
      </c>
      <c r="I343" s="129" t="s">
        <v>241</v>
      </c>
      <c r="J343" s="121" t="s">
        <v>24</v>
      </c>
      <c r="K343" s="160">
        <f>40</f>
        <v>40</v>
      </c>
      <c r="L343" s="160">
        <f>40*102.5%</f>
        <v>41</v>
      </c>
      <c r="M343" s="136">
        <f>40*105%</f>
        <v>42</v>
      </c>
      <c r="N343" s="124"/>
      <c r="O343" s="125"/>
    </row>
    <row r="344" spans="2:15" s="123" customFormat="1" ht="220.5">
      <c r="B344" s="162" t="s">
        <v>328</v>
      </c>
      <c r="C344" s="121" t="s">
        <v>104</v>
      </c>
      <c r="D344" s="121" t="s">
        <v>71</v>
      </c>
      <c r="E344" s="121" t="s">
        <v>92</v>
      </c>
      <c r="F344" s="129" t="s">
        <v>324</v>
      </c>
      <c r="G344" s="129" t="s">
        <v>204</v>
      </c>
      <c r="H344" s="129" t="s">
        <v>62</v>
      </c>
      <c r="I344" s="129" t="s">
        <v>202</v>
      </c>
      <c r="J344" s="121"/>
      <c r="K344" s="160">
        <f t="shared" ref="K344:M346" si="52">K345</f>
        <v>86</v>
      </c>
      <c r="L344" s="160">
        <f t="shared" si="52"/>
        <v>88.149999999999991</v>
      </c>
      <c r="M344" s="136">
        <f t="shared" si="52"/>
        <v>90.3</v>
      </c>
      <c r="N344" s="124"/>
      <c r="O344" s="125"/>
    </row>
    <row r="345" spans="2:15" s="123" customFormat="1">
      <c r="B345" s="162" t="s">
        <v>240</v>
      </c>
      <c r="C345" s="121" t="s">
        <v>104</v>
      </c>
      <c r="D345" s="121" t="s">
        <v>71</v>
      </c>
      <c r="E345" s="121" t="s">
        <v>92</v>
      </c>
      <c r="F345" s="129" t="s">
        <v>324</v>
      </c>
      <c r="G345" s="129" t="s">
        <v>204</v>
      </c>
      <c r="H345" s="129" t="s">
        <v>62</v>
      </c>
      <c r="I345" s="129" t="s">
        <v>241</v>
      </c>
      <c r="J345" s="121"/>
      <c r="K345" s="160">
        <f t="shared" si="52"/>
        <v>86</v>
      </c>
      <c r="L345" s="160">
        <f t="shared" si="52"/>
        <v>88.149999999999991</v>
      </c>
      <c r="M345" s="136">
        <f t="shared" si="52"/>
        <v>90.3</v>
      </c>
      <c r="N345" s="124"/>
      <c r="O345" s="125"/>
    </row>
    <row r="346" spans="2:15" s="123" customFormat="1" ht="47.25">
      <c r="B346" s="120" t="s">
        <v>206</v>
      </c>
      <c r="C346" s="121" t="s">
        <v>104</v>
      </c>
      <c r="D346" s="121" t="s">
        <v>71</v>
      </c>
      <c r="E346" s="121" t="s">
        <v>92</v>
      </c>
      <c r="F346" s="129" t="s">
        <v>324</v>
      </c>
      <c r="G346" s="129" t="s">
        <v>204</v>
      </c>
      <c r="H346" s="129" t="s">
        <v>62</v>
      </c>
      <c r="I346" s="129" t="s">
        <v>241</v>
      </c>
      <c r="J346" s="121" t="s">
        <v>22</v>
      </c>
      <c r="K346" s="160">
        <f t="shared" si="52"/>
        <v>86</v>
      </c>
      <c r="L346" s="160">
        <f t="shared" si="52"/>
        <v>88.149999999999991</v>
      </c>
      <c r="M346" s="136">
        <f t="shared" si="52"/>
        <v>90.3</v>
      </c>
      <c r="N346" s="124"/>
      <c r="O346" s="125"/>
    </row>
    <row r="347" spans="2:15" s="123" customFormat="1" ht="47.25">
      <c r="B347" s="120" t="s">
        <v>23</v>
      </c>
      <c r="C347" s="121" t="s">
        <v>104</v>
      </c>
      <c r="D347" s="121" t="s">
        <v>71</v>
      </c>
      <c r="E347" s="121" t="s">
        <v>92</v>
      </c>
      <c r="F347" s="129" t="s">
        <v>324</v>
      </c>
      <c r="G347" s="129" t="s">
        <v>204</v>
      </c>
      <c r="H347" s="129" t="s">
        <v>62</v>
      </c>
      <c r="I347" s="129" t="s">
        <v>241</v>
      </c>
      <c r="J347" s="121" t="s">
        <v>24</v>
      </c>
      <c r="K347" s="160">
        <f>86</f>
        <v>86</v>
      </c>
      <c r="L347" s="160">
        <f>86*102.5%</f>
        <v>88.149999999999991</v>
      </c>
      <c r="M347" s="136">
        <f>86*105%</f>
        <v>90.3</v>
      </c>
      <c r="N347" s="124"/>
      <c r="O347" s="125"/>
    </row>
    <row r="348" spans="2:15" s="123" customFormat="1" ht="126">
      <c r="B348" s="162" t="s">
        <v>329</v>
      </c>
      <c r="C348" s="121" t="s">
        <v>104</v>
      </c>
      <c r="D348" s="121" t="s">
        <v>71</v>
      </c>
      <c r="E348" s="121" t="s">
        <v>92</v>
      </c>
      <c r="F348" s="129" t="s">
        <v>324</v>
      </c>
      <c r="G348" s="129" t="s">
        <v>204</v>
      </c>
      <c r="H348" s="129" t="s">
        <v>15</v>
      </c>
      <c r="I348" s="129" t="s">
        <v>202</v>
      </c>
      <c r="J348" s="121"/>
      <c r="K348" s="160">
        <f t="shared" ref="K348:M350" si="53">K349</f>
        <v>15</v>
      </c>
      <c r="L348" s="160">
        <f t="shared" si="53"/>
        <v>15.374999999999998</v>
      </c>
      <c r="M348" s="136">
        <f t="shared" si="53"/>
        <v>15.75</v>
      </c>
      <c r="N348" s="124"/>
      <c r="O348" s="125"/>
    </row>
    <row r="349" spans="2:15" s="123" customFormat="1">
      <c r="B349" s="162" t="s">
        <v>240</v>
      </c>
      <c r="C349" s="121" t="s">
        <v>104</v>
      </c>
      <c r="D349" s="121" t="s">
        <v>71</v>
      </c>
      <c r="E349" s="121" t="s">
        <v>92</v>
      </c>
      <c r="F349" s="129" t="s">
        <v>324</v>
      </c>
      <c r="G349" s="129" t="s">
        <v>204</v>
      </c>
      <c r="H349" s="129" t="s">
        <v>15</v>
      </c>
      <c r="I349" s="129" t="s">
        <v>241</v>
      </c>
      <c r="J349" s="121"/>
      <c r="K349" s="160">
        <f t="shared" si="53"/>
        <v>15</v>
      </c>
      <c r="L349" s="160">
        <f t="shared" si="53"/>
        <v>15.374999999999998</v>
      </c>
      <c r="M349" s="136">
        <f t="shared" si="53"/>
        <v>15.75</v>
      </c>
      <c r="N349" s="124"/>
      <c r="O349" s="125"/>
    </row>
    <row r="350" spans="2:15" s="123" customFormat="1" ht="47.25">
      <c r="B350" s="120" t="s">
        <v>206</v>
      </c>
      <c r="C350" s="121" t="s">
        <v>104</v>
      </c>
      <c r="D350" s="121" t="s">
        <v>71</v>
      </c>
      <c r="E350" s="121" t="s">
        <v>92</v>
      </c>
      <c r="F350" s="129" t="s">
        <v>324</v>
      </c>
      <c r="G350" s="129" t="s">
        <v>204</v>
      </c>
      <c r="H350" s="129" t="s">
        <v>15</v>
      </c>
      <c r="I350" s="129" t="s">
        <v>241</v>
      </c>
      <c r="J350" s="121" t="s">
        <v>22</v>
      </c>
      <c r="K350" s="160">
        <f t="shared" si="53"/>
        <v>15</v>
      </c>
      <c r="L350" s="160">
        <f t="shared" si="53"/>
        <v>15.374999999999998</v>
      </c>
      <c r="M350" s="136">
        <f t="shared" si="53"/>
        <v>15.75</v>
      </c>
      <c r="N350" s="124"/>
      <c r="O350" s="125"/>
    </row>
    <row r="351" spans="2:15" s="123" customFormat="1" ht="47.25">
      <c r="B351" s="120" t="s">
        <v>23</v>
      </c>
      <c r="C351" s="121" t="s">
        <v>104</v>
      </c>
      <c r="D351" s="121" t="s">
        <v>71</v>
      </c>
      <c r="E351" s="121" t="s">
        <v>92</v>
      </c>
      <c r="F351" s="129" t="s">
        <v>324</v>
      </c>
      <c r="G351" s="129" t="s">
        <v>204</v>
      </c>
      <c r="H351" s="129" t="s">
        <v>15</v>
      </c>
      <c r="I351" s="129" t="s">
        <v>241</v>
      </c>
      <c r="J351" s="121" t="s">
        <v>24</v>
      </c>
      <c r="K351" s="160">
        <f>15</f>
        <v>15</v>
      </c>
      <c r="L351" s="160">
        <f>15*102.5%</f>
        <v>15.374999999999998</v>
      </c>
      <c r="M351" s="136">
        <f>15*105%</f>
        <v>15.75</v>
      </c>
      <c r="N351" s="124"/>
      <c r="O351" s="125"/>
    </row>
    <row r="352" spans="2:15" s="123" customFormat="1" ht="47.25">
      <c r="B352" s="162" t="s">
        <v>330</v>
      </c>
      <c r="C352" s="121" t="s">
        <v>104</v>
      </c>
      <c r="D352" s="121" t="s">
        <v>71</v>
      </c>
      <c r="E352" s="121" t="s">
        <v>92</v>
      </c>
      <c r="F352" s="129" t="s">
        <v>324</v>
      </c>
      <c r="G352" s="129" t="s">
        <v>204</v>
      </c>
      <c r="H352" s="129" t="s">
        <v>71</v>
      </c>
      <c r="I352" s="129" t="s">
        <v>202</v>
      </c>
      <c r="J352" s="121"/>
      <c r="K352" s="160">
        <f t="shared" ref="K352:M354" si="54">K353</f>
        <v>2</v>
      </c>
      <c r="L352" s="160">
        <f t="shared" si="54"/>
        <v>2.0499999999999998</v>
      </c>
      <c r="M352" s="136">
        <f t="shared" si="54"/>
        <v>2.1</v>
      </c>
      <c r="N352" s="124"/>
      <c r="O352" s="125"/>
    </row>
    <row r="353" spans="2:15" s="123" customFormat="1">
      <c r="B353" s="162" t="s">
        <v>240</v>
      </c>
      <c r="C353" s="121" t="s">
        <v>104</v>
      </c>
      <c r="D353" s="121" t="s">
        <v>71</v>
      </c>
      <c r="E353" s="121" t="s">
        <v>92</v>
      </c>
      <c r="F353" s="129" t="s">
        <v>324</v>
      </c>
      <c r="G353" s="129" t="s">
        <v>204</v>
      </c>
      <c r="H353" s="129" t="s">
        <v>71</v>
      </c>
      <c r="I353" s="129" t="s">
        <v>241</v>
      </c>
      <c r="J353" s="121"/>
      <c r="K353" s="160">
        <f t="shared" si="54"/>
        <v>2</v>
      </c>
      <c r="L353" s="160">
        <f t="shared" si="54"/>
        <v>2.0499999999999998</v>
      </c>
      <c r="M353" s="136">
        <f t="shared" si="54"/>
        <v>2.1</v>
      </c>
      <c r="N353" s="124"/>
      <c r="O353" s="125"/>
    </row>
    <row r="354" spans="2:15" s="123" customFormat="1" ht="47.25">
      <c r="B354" s="120" t="s">
        <v>206</v>
      </c>
      <c r="C354" s="121" t="s">
        <v>104</v>
      </c>
      <c r="D354" s="121" t="s">
        <v>71</v>
      </c>
      <c r="E354" s="121" t="s">
        <v>92</v>
      </c>
      <c r="F354" s="129" t="s">
        <v>324</v>
      </c>
      <c r="G354" s="129" t="s">
        <v>204</v>
      </c>
      <c r="H354" s="129" t="s">
        <v>71</v>
      </c>
      <c r="I354" s="129" t="s">
        <v>241</v>
      </c>
      <c r="J354" s="121" t="s">
        <v>22</v>
      </c>
      <c r="K354" s="160">
        <f t="shared" si="54"/>
        <v>2</v>
      </c>
      <c r="L354" s="160">
        <f t="shared" si="54"/>
        <v>2.0499999999999998</v>
      </c>
      <c r="M354" s="136">
        <f t="shared" si="54"/>
        <v>2.1</v>
      </c>
      <c r="N354" s="124"/>
      <c r="O354" s="125"/>
    </row>
    <row r="355" spans="2:15" s="123" customFormat="1" ht="47.25">
      <c r="B355" s="120" t="s">
        <v>23</v>
      </c>
      <c r="C355" s="121" t="s">
        <v>104</v>
      </c>
      <c r="D355" s="121" t="s">
        <v>71</v>
      </c>
      <c r="E355" s="121" t="s">
        <v>92</v>
      </c>
      <c r="F355" s="129" t="s">
        <v>324</v>
      </c>
      <c r="G355" s="129" t="s">
        <v>204</v>
      </c>
      <c r="H355" s="129" t="s">
        <v>71</v>
      </c>
      <c r="I355" s="129" t="s">
        <v>241</v>
      </c>
      <c r="J355" s="121" t="s">
        <v>24</v>
      </c>
      <c r="K355" s="160">
        <f>2</f>
        <v>2</v>
      </c>
      <c r="L355" s="160">
        <f>2*102.5%</f>
        <v>2.0499999999999998</v>
      </c>
      <c r="M355" s="136">
        <f>2*105%</f>
        <v>2.1</v>
      </c>
      <c r="N355" s="124"/>
      <c r="O355" s="125"/>
    </row>
    <row r="356" spans="2:15" s="123" customFormat="1" ht="63">
      <c r="B356" s="162" t="s">
        <v>331</v>
      </c>
      <c r="C356" s="121" t="s">
        <v>104</v>
      </c>
      <c r="D356" s="121" t="s">
        <v>71</v>
      </c>
      <c r="E356" s="121" t="s">
        <v>92</v>
      </c>
      <c r="F356" s="129" t="s">
        <v>324</v>
      </c>
      <c r="G356" s="129" t="s">
        <v>204</v>
      </c>
      <c r="H356" s="129" t="s">
        <v>64</v>
      </c>
      <c r="I356" s="129" t="s">
        <v>202</v>
      </c>
      <c r="J356" s="121"/>
      <c r="K356" s="160">
        <f t="shared" ref="K356:M358" si="55">K357</f>
        <v>3</v>
      </c>
      <c r="L356" s="160">
        <f t="shared" si="55"/>
        <v>3.0749999999999997</v>
      </c>
      <c r="M356" s="136">
        <f t="shared" si="55"/>
        <v>3.1500000000000004</v>
      </c>
      <c r="N356" s="124"/>
      <c r="O356" s="125"/>
    </row>
    <row r="357" spans="2:15" s="123" customFormat="1">
      <c r="B357" s="162" t="s">
        <v>240</v>
      </c>
      <c r="C357" s="121" t="s">
        <v>104</v>
      </c>
      <c r="D357" s="121" t="s">
        <v>71</v>
      </c>
      <c r="E357" s="121" t="s">
        <v>92</v>
      </c>
      <c r="F357" s="129" t="s">
        <v>324</v>
      </c>
      <c r="G357" s="129" t="s">
        <v>204</v>
      </c>
      <c r="H357" s="129" t="s">
        <v>64</v>
      </c>
      <c r="I357" s="129" t="s">
        <v>241</v>
      </c>
      <c r="J357" s="121"/>
      <c r="K357" s="160">
        <f t="shared" si="55"/>
        <v>3</v>
      </c>
      <c r="L357" s="160">
        <f t="shared" si="55"/>
        <v>3.0749999999999997</v>
      </c>
      <c r="M357" s="136">
        <f t="shared" si="55"/>
        <v>3.1500000000000004</v>
      </c>
      <c r="N357" s="124"/>
      <c r="O357" s="125"/>
    </row>
    <row r="358" spans="2:15" s="123" customFormat="1" ht="47.25">
      <c r="B358" s="120" t="s">
        <v>206</v>
      </c>
      <c r="C358" s="121" t="s">
        <v>104</v>
      </c>
      <c r="D358" s="121" t="s">
        <v>71</v>
      </c>
      <c r="E358" s="121" t="s">
        <v>92</v>
      </c>
      <c r="F358" s="129" t="s">
        <v>324</v>
      </c>
      <c r="G358" s="129" t="s">
        <v>204</v>
      </c>
      <c r="H358" s="129" t="s">
        <v>64</v>
      </c>
      <c r="I358" s="129" t="s">
        <v>241</v>
      </c>
      <c r="J358" s="121" t="s">
        <v>22</v>
      </c>
      <c r="K358" s="160">
        <f t="shared" si="55"/>
        <v>3</v>
      </c>
      <c r="L358" s="160">
        <f t="shared" si="55"/>
        <v>3.0749999999999997</v>
      </c>
      <c r="M358" s="136">
        <f t="shared" si="55"/>
        <v>3.1500000000000004</v>
      </c>
      <c r="N358" s="124"/>
      <c r="O358" s="125"/>
    </row>
    <row r="359" spans="2:15" s="123" customFormat="1" ht="47.25">
      <c r="B359" s="120" t="s">
        <v>23</v>
      </c>
      <c r="C359" s="121" t="s">
        <v>104</v>
      </c>
      <c r="D359" s="121" t="s">
        <v>71</v>
      </c>
      <c r="E359" s="121" t="s">
        <v>92</v>
      </c>
      <c r="F359" s="129" t="s">
        <v>324</v>
      </c>
      <c r="G359" s="129" t="s">
        <v>204</v>
      </c>
      <c r="H359" s="129" t="s">
        <v>64</v>
      </c>
      <c r="I359" s="129" t="s">
        <v>241</v>
      </c>
      <c r="J359" s="121" t="s">
        <v>24</v>
      </c>
      <c r="K359" s="160">
        <f>3</f>
        <v>3</v>
      </c>
      <c r="L359" s="160">
        <f>3*102.5%</f>
        <v>3.0749999999999997</v>
      </c>
      <c r="M359" s="136">
        <f>3*105%</f>
        <v>3.1500000000000004</v>
      </c>
      <c r="N359" s="124"/>
      <c r="O359" s="125"/>
    </row>
    <row r="360" spans="2:15" s="123" customFormat="1" ht="31.5">
      <c r="B360" s="162" t="s">
        <v>332</v>
      </c>
      <c r="C360" s="121" t="s">
        <v>104</v>
      </c>
      <c r="D360" s="121" t="s">
        <v>71</v>
      </c>
      <c r="E360" s="121" t="s">
        <v>92</v>
      </c>
      <c r="F360" s="129" t="s">
        <v>324</v>
      </c>
      <c r="G360" s="129" t="s">
        <v>204</v>
      </c>
      <c r="H360" s="129" t="s">
        <v>34</v>
      </c>
      <c r="I360" s="129" t="s">
        <v>202</v>
      </c>
      <c r="J360" s="121"/>
      <c r="K360" s="160">
        <f t="shared" ref="K360:M362" si="56">K361</f>
        <v>7</v>
      </c>
      <c r="L360" s="160">
        <f t="shared" si="56"/>
        <v>7.1749999999999989</v>
      </c>
      <c r="M360" s="136">
        <f t="shared" si="56"/>
        <v>7.3500000000000005</v>
      </c>
      <c r="N360" s="124"/>
      <c r="O360" s="125"/>
    </row>
    <row r="361" spans="2:15" s="123" customFormat="1">
      <c r="B361" s="162" t="s">
        <v>240</v>
      </c>
      <c r="C361" s="121" t="s">
        <v>104</v>
      </c>
      <c r="D361" s="121" t="s">
        <v>71</v>
      </c>
      <c r="E361" s="121" t="s">
        <v>92</v>
      </c>
      <c r="F361" s="129" t="s">
        <v>324</v>
      </c>
      <c r="G361" s="129" t="s">
        <v>204</v>
      </c>
      <c r="H361" s="129" t="s">
        <v>34</v>
      </c>
      <c r="I361" s="129" t="s">
        <v>241</v>
      </c>
      <c r="J361" s="121"/>
      <c r="K361" s="160">
        <f t="shared" si="56"/>
        <v>7</v>
      </c>
      <c r="L361" s="160">
        <f t="shared" si="56"/>
        <v>7.1749999999999989</v>
      </c>
      <c r="M361" s="136">
        <f t="shared" si="56"/>
        <v>7.3500000000000005</v>
      </c>
      <c r="N361" s="124"/>
      <c r="O361" s="125"/>
    </row>
    <row r="362" spans="2:15" s="123" customFormat="1" ht="47.25">
      <c r="B362" s="120" t="s">
        <v>206</v>
      </c>
      <c r="C362" s="121" t="s">
        <v>104</v>
      </c>
      <c r="D362" s="121" t="s">
        <v>71</v>
      </c>
      <c r="E362" s="121" t="s">
        <v>92</v>
      </c>
      <c r="F362" s="129" t="s">
        <v>324</v>
      </c>
      <c r="G362" s="129" t="s">
        <v>204</v>
      </c>
      <c r="H362" s="129" t="s">
        <v>34</v>
      </c>
      <c r="I362" s="129" t="s">
        <v>241</v>
      </c>
      <c r="J362" s="121" t="s">
        <v>22</v>
      </c>
      <c r="K362" s="160">
        <f t="shared" si="56"/>
        <v>7</v>
      </c>
      <c r="L362" s="160">
        <f t="shared" si="56"/>
        <v>7.1749999999999989</v>
      </c>
      <c r="M362" s="136">
        <f t="shared" si="56"/>
        <v>7.3500000000000005</v>
      </c>
      <c r="N362" s="124"/>
      <c r="O362" s="125"/>
    </row>
    <row r="363" spans="2:15" s="123" customFormat="1" ht="47.25">
      <c r="B363" s="120" t="s">
        <v>23</v>
      </c>
      <c r="C363" s="121" t="s">
        <v>104</v>
      </c>
      <c r="D363" s="121" t="s">
        <v>71</v>
      </c>
      <c r="E363" s="121" t="s">
        <v>92</v>
      </c>
      <c r="F363" s="129" t="s">
        <v>324</v>
      </c>
      <c r="G363" s="129" t="s">
        <v>204</v>
      </c>
      <c r="H363" s="129" t="s">
        <v>34</v>
      </c>
      <c r="I363" s="129" t="s">
        <v>241</v>
      </c>
      <c r="J363" s="121" t="s">
        <v>24</v>
      </c>
      <c r="K363" s="160">
        <f>7</f>
        <v>7</v>
      </c>
      <c r="L363" s="160">
        <f>7*102.5%</f>
        <v>7.1749999999999989</v>
      </c>
      <c r="M363" s="136">
        <f>7*105%</f>
        <v>7.3500000000000005</v>
      </c>
      <c r="N363" s="124"/>
      <c r="O363" s="125"/>
    </row>
    <row r="364" spans="2:15" s="123" customFormat="1" ht="110.25">
      <c r="B364" s="162" t="s">
        <v>333</v>
      </c>
      <c r="C364" s="121" t="s">
        <v>104</v>
      </c>
      <c r="D364" s="121" t="s">
        <v>71</v>
      </c>
      <c r="E364" s="121" t="s">
        <v>92</v>
      </c>
      <c r="F364" s="129" t="s">
        <v>324</v>
      </c>
      <c r="G364" s="129" t="s">
        <v>204</v>
      </c>
      <c r="H364" s="129" t="s">
        <v>334</v>
      </c>
      <c r="I364" s="129" t="s">
        <v>202</v>
      </c>
      <c r="J364" s="121"/>
      <c r="K364" s="160">
        <f t="shared" ref="K364:M366" si="57">K365</f>
        <v>10</v>
      </c>
      <c r="L364" s="160">
        <f t="shared" si="57"/>
        <v>10.25</v>
      </c>
      <c r="M364" s="136">
        <f t="shared" si="57"/>
        <v>10.5</v>
      </c>
      <c r="N364" s="124"/>
      <c r="O364" s="125"/>
    </row>
    <row r="365" spans="2:15" s="123" customFormat="1">
      <c r="B365" s="162" t="s">
        <v>240</v>
      </c>
      <c r="C365" s="121" t="s">
        <v>104</v>
      </c>
      <c r="D365" s="121" t="s">
        <v>71</v>
      </c>
      <c r="E365" s="121" t="s">
        <v>92</v>
      </c>
      <c r="F365" s="129" t="s">
        <v>324</v>
      </c>
      <c r="G365" s="129" t="s">
        <v>204</v>
      </c>
      <c r="H365" s="129" t="s">
        <v>334</v>
      </c>
      <c r="I365" s="129" t="s">
        <v>241</v>
      </c>
      <c r="J365" s="121"/>
      <c r="K365" s="160">
        <f t="shared" si="57"/>
        <v>10</v>
      </c>
      <c r="L365" s="160">
        <f t="shared" si="57"/>
        <v>10.25</v>
      </c>
      <c r="M365" s="136">
        <f t="shared" si="57"/>
        <v>10.5</v>
      </c>
      <c r="N365" s="124"/>
      <c r="O365" s="125"/>
    </row>
    <row r="366" spans="2:15" s="123" customFormat="1" ht="47.25">
      <c r="B366" s="120" t="s">
        <v>206</v>
      </c>
      <c r="C366" s="121" t="s">
        <v>104</v>
      </c>
      <c r="D366" s="121" t="s">
        <v>71</v>
      </c>
      <c r="E366" s="121" t="s">
        <v>92</v>
      </c>
      <c r="F366" s="129" t="s">
        <v>324</v>
      </c>
      <c r="G366" s="129" t="s">
        <v>204</v>
      </c>
      <c r="H366" s="129" t="s">
        <v>334</v>
      </c>
      <c r="I366" s="129" t="s">
        <v>241</v>
      </c>
      <c r="J366" s="121" t="s">
        <v>22</v>
      </c>
      <c r="K366" s="160">
        <f t="shared" si="57"/>
        <v>10</v>
      </c>
      <c r="L366" s="160">
        <f t="shared" si="57"/>
        <v>10.25</v>
      </c>
      <c r="M366" s="136">
        <f t="shared" si="57"/>
        <v>10.5</v>
      </c>
      <c r="N366" s="124"/>
      <c r="O366" s="125"/>
    </row>
    <row r="367" spans="2:15" s="123" customFormat="1" ht="47.25">
      <c r="B367" s="120" t="s">
        <v>23</v>
      </c>
      <c r="C367" s="121" t="s">
        <v>104</v>
      </c>
      <c r="D367" s="121" t="s">
        <v>71</v>
      </c>
      <c r="E367" s="121" t="s">
        <v>92</v>
      </c>
      <c r="F367" s="129" t="s">
        <v>324</v>
      </c>
      <c r="G367" s="129" t="s">
        <v>204</v>
      </c>
      <c r="H367" s="129" t="s">
        <v>334</v>
      </c>
      <c r="I367" s="129" t="s">
        <v>241</v>
      </c>
      <c r="J367" s="121" t="s">
        <v>24</v>
      </c>
      <c r="K367" s="160">
        <f>10</f>
        <v>10</v>
      </c>
      <c r="L367" s="160">
        <f>10*102.5%</f>
        <v>10.25</v>
      </c>
      <c r="M367" s="136">
        <f>10*105%</f>
        <v>10.5</v>
      </c>
      <c r="N367" s="124"/>
      <c r="O367" s="125"/>
    </row>
    <row r="368" spans="2:15" s="123" customFormat="1" ht="94.5">
      <c r="B368" s="162" t="s">
        <v>335</v>
      </c>
      <c r="C368" s="121" t="s">
        <v>104</v>
      </c>
      <c r="D368" s="121" t="s">
        <v>71</v>
      </c>
      <c r="E368" s="121" t="s">
        <v>92</v>
      </c>
      <c r="F368" s="129" t="s">
        <v>324</v>
      </c>
      <c r="G368" s="129" t="s">
        <v>204</v>
      </c>
      <c r="H368" s="129" t="s">
        <v>336</v>
      </c>
      <c r="I368" s="129" t="s">
        <v>202</v>
      </c>
      <c r="J368" s="121"/>
      <c r="K368" s="160">
        <f t="shared" ref="K368:M370" si="58">K369</f>
        <v>4</v>
      </c>
      <c r="L368" s="160">
        <f t="shared" si="58"/>
        <v>4.0999999999999996</v>
      </c>
      <c r="M368" s="136">
        <f t="shared" si="58"/>
        <v>4.2</v>
      </c>
      <c r="N368" s="124"/>
      <c r="O368" s="125"/>
    </row>
    <row r="369" spans="2:15" s="123" customFormat="1">
      <c r="B369" s="162" t="s">
        <v>240</v>
      </c>
      <c r="C369" s="121" t="s">
        <v>104</v>
      </c>
      <c r="D369" s="121" t="s">
        <v>71</v>
      </c>
      <c r="E369" s="121" t="s">
        <v>92</v>
      </c>
      <c r="F369" s="129" t="s">
        <v>324</v>
      </c>
      <c r="G369" s="129" t="s">
        <v>204</v>
      </c>
      <c r="H369" s="129" t="s">
        <v>336</v>
      </c>
      <c r="I369" s="129" t="s">
        <v>241</v>
      </c>
      <c r="J369" s="121"/>
      <c r="K369" s="160">
        <f t="shared" si="58"/>
        <v>4</v>
      </c>
      <c r="L369" s="160">
        <f t="shared" si="58"/>
        <v>4.0999999999999996</v>
      </c>
      <c r="M369" s="136">
        <f t="shared" si="58"/>
        <v>4.2</v>
      </c>
      <c r="N369" s="124"/>
      <c r="O369" s="125"/>
    </row>
    <row r="370" spans="2:15" s="123" customFormat="1" ht="47.25">
      <c r="B370" s="120" t="s">
        <v>206</v>
      </c>
      <c r="C370" s="121" t="s">
        <v>104</v>
      </c>
      <c r="D370" s="121" t="s">
        <v>71</v>
      </c>
      <c r="E370" s="121" t="s">
        <v>92</v>
      </c>
      <c r="F370" s="129" t="s">
        <v>324</v>
      </c>
      <c r="G370" s="129" t="s">
        <v>204</v>
      </c>
      <c r="H370" s="129" t="s">
        <v>336</v>
      </c>
      <c r="I370" s="129" t="s">
        <v>241</v>
      </c>
      <c r="J370" s="121" t="s">
        <v>22</v>
      </c>
      <c r="K370" s="160">
        <f t="shared" si="58"/>
        <v>4</v>
      </c>
      <c r="L370" s="160">
        <f t="shared" si="58"/>
        <v>4.0999999999999996</v>
      </c>
      <c r="M370" s="136">
        <f t="shared" si="58"/>
        <v>4.2</v>
      </c>
      <c r="N370" s="124"/>
      <c r="O370" s="125"/>
    </row>
    <row r="371" spans="2:15" s="123" customFormat="1" ht="47.25">
      <c r="B371" s="120" t="s">
        <v>23</v>
      </c>
      <c r="C371" s="121" t="s">
        <v>104</v>
      </c>
      <c r="D371" s="121" t="s">
        <v>71</v>
      </c>
      <c r="E371" s="121" t="s">
        <v>92</v>
      </c>
      <c r="F371" s="129" t="s">
        <v>324</v>
      </c>
      <c r="G371" s="129" t="s">
        <v>204</v>
      </c>
      <c r="H371" s="129" t="s">
        <v>336</v>
      </c>
      <c r="I371" s="129" t="s">
        <v>241</v>
      </c>
      <c r="J371" s="121" t="s">
        <v>24</v>
      </c>
      <c r="K371" s="160">
        <f>4</f>
        <v>4</v>
      </c>
      <c r="L371" s="160">
        <f>4*102.5%</f>
        <v>4.0999999999999996</v>
      </c>
      <c r="M371" s="136">
        <f>4*105%</f>
        <v>4.2</v>
      </c>
      <c r="N371" s="124"/>
      <c r="O371" s="125"/>
    </row>
    <row r="372" spans="2:15" s="123" customFormat="1" ht="78.75">
      <c r="B372" s="162" t="s">
        <v>337</v>
      </c>
      <c r="C372" s="121" t="s">
        <v>104</v>
      </c>
      <c r="D372" s="121" t="s">
        <v>71</v>
      </c>
      <c r="E372" s="121" t="s">
        <v>92</v>
      </c>
      <c r="F372" s="129" t="s">
        <v>324</v>
      </c>
      <c r="G372" s="129" t="s">
        <v>204</v>
      </c>
      <c r="H372" s="129" t="s">
        <v>338</v>
      </c>
      <c r="I372" s="129" t="s">
        <v>202</v>
      </c>
      <c r="J372" s="121"/>
      <c r="K372" s="160">
        <f t="shared" ref="K372:M374" si="59">K373</f>
        <v>3</v>
      </c>
      <c r="L372" s="160">
        <f t="shared" si="59"/>
        <v>3.0749999999999997</v>
      </c>
      <c r="M372" s="136">
        <f t="shared" si="59"/>
        <v>3.1500000000000004</v>
      </c>
      <c r="N372" s="124"/>
      <c r="O372" s="125"/>
    </row>
    <row r="373" spans="2:15" s="123" customFormat="1">
      <c r="B373" s="162" t="s">
        <v>240</v>
      </c>
      <c r="C373" s="121" t="s">
        <v>104</v>
      </c>
      <c r="D373" s="121" t="s">
        <v>71</v>
      </c>
      <c r="E373" s="121" t="s">
        <v>92</v>
      </c>
      <c r="F373" s="129" t="s">
        <v>324</v>
      </c>
      <c r="G373" s="129" t="s">
        <v>204</v>
      </c>
      <c r="H373" s="129" t="s">
        <v>338</v>
      </c>
      <c r="I373" s="129" t="s">
        <v>241</v>
      </c>
      <c r="J373" s="121"/>
      <c r="K373" s="160">
        <f t="shared" si="59"/>
        <v>3</v>
      </c>
      <c r="L373" s="160">
        <f t="shared" si="59"/>
        <v>3.0749999999999997</v>
      </c>
      <c r="M373" s="136">
        <f t="shared" si="59"/>
        <v>3.1500000000000004</v>
      </c>
      <c r="N373" s="124"/>
      <c r="O373" s="125"/>
    </row>
    <row r="374" spans="2:15" s="123" customFormat="1" ht="47.25">
      <c r="B374" s="120" t="s">
        <v>206</v>
      </c>
      <c r="C374" s="121" t="s">
        <v>104</v>
      </c>
      <c r="D374" s="121" t="s">
        <v>71</v>
      </c>
      <c r="E374" s="121" t="s">
        <v>92</v>
      </c>
      <c r="F374" s="129" t="s">
        <v>324</v>
      </c>
      <c r="G374" s="129" t="s">
        <v>204</v>
      </c>
      <c r="H374" s="129" t="s">
        <v>338</v>
      </c>
      <c r="I374" s="129" t="s">
        <v>241</v>
      </c>
      <c r="J374" s="121" t="s">
        <v>22</v>
      </c>
      <c r="K374" s="160">
        <f t="shared" si="59"/>
        <v>3</v>
      </c>
      <c r="L374" s="160">
        <f t="shared" si="59"/>
        <v>3.0749999999999997</v>
      </c>
      <c r="M374" s="136">
        <f t="shared" si="59"/>
        <v>3.1500000000000004</v>
      </c>
      <c r="N374" s="124"/>
      <c r="O374" s="125"/>
    </row>
    <row r="375" spans="2:15" s="123" customFormat="1" ht="47.25">
      <c r="B375" s="120" t="s">
        <v>23</v>
      </c>
      <c r="C375" s="121" t="s">
        <v>104</v>
      </c>
      <c r="D375" s="121" t="s">
        <v>71</v>
      </c>
      <c r="E375" s="121" t="s">
        <v>92</v>
      </c>
      <c r="F375" s="129" t="s">
        <v>324</v>
      </c>
      <c r="G375" s="129" t="s">
        <v>204</v>
      </c>
      <c r="H375" s="129" t="s">
        <v>338</v>
      </c>
      <c r="I375" s="129" t="s">
        <v>241</v>
      </c>
      <c r="J375" s="121" t="s">
        <v>24</v>
      </c>
      <c r="K375" s="160">
        <f>3</f>
        <v>3</v>
      </c>
      <c r="L375" s="160">
        <f>3*102.5%</f>
        <v>3.0749999999999997</v>
      </c>
      <c r="M375" s="136">
        <f>3*105%</f>
        <v>3.1500000000000004</v>
      </c>
      <c r="N375" s="124"/>
      <c r="O375" s="125"/>
    </row>
    <row r="376" spans="2:15" s="123" customFormat="1" ht="63">
      <c r="B376" s="162" t="s">
        <v>339</v>
      </c>
      <c r="C376" s="121" t="s">
        <v>104</v>
      </c>
      <c r="D376" s="121" t="s">
        <v>71</v>
      </c>
      <c r="E376" s="121" t="s">
        <v>92</v>
      </c>
      <c r="F376" s="129" t="s">
        <v>324</v>
      </c>
      <c r="G376" s="129" t="s">
        <v>204</v>
      </c>
      <c r="H376" s="129" t="s">
        <v>340</v>
      </c>
      <c r="I376" s="129" t="s">
        <v>202</v>
      </c>
      <c r="J376" s="121"/>
      <c r="K376" s="160">
        <f t="shared" ref="K376:M378" si="60">K377</f>
        <v>3.5</v>
      </c>
      <c r="L376" s="160">
        <f t="shared" si="60"/>
        <v>3.5874999999999995</v>
      </c>
      <c r="M376" s="136">
        <f t="shared" si="60"/>
        <v>3.6750000000000003</v>
      </c>
      <c r="N376" s="124"/>
      <c r="O376" s="125"/>
    </row>
    <row r="377" spans="2:15" s="123" customFormat="1">
      <c r="B377" s="162" t="s">
        <v>240</v>
      </c>
      <c r="C377" s="121" t="s">
        <v>104</v>
      </c>
      <c r="D377" s="121" t="s">
        <v>71</v>
      </c>
      <c r="E377" s="121" t="s">
        <v>92</v>
      </c>
      <c r="F377" s="129" t="s">
        <v>324</v>
      </c>
      <c r="G377" s="129" t="s">
        <v>204</v>
      </c>
      <c r="H377" s="129" t="s">
        <v>340</v>
      </c>
      <c r="I377" s="129" t="s">
        <v>241</v>
      </c>
      <c r="J377" s="121"/>
      <c r="K377" s="160">
        <f t="shared" si="60"/>
        <v>3.5</v>
      </c>
      <c r="L377" s="160">
        <f t="shared" si="60"/>
        <v>3.5874999999999995</v>
      </c>
      <c r="M377" s="136">
        <f t="shared" si="60"/>
        <v>3.6750000000000003</v>
      </c>
      <c r="N377" s="124"/>
      <c r="O377" s="125"/>
    </row>
    <row r="378" spans="2:15" s="123" customFormat="1" ht="47.25">
      <c r="B378" s="120" t="s">
        <v>206</v>
      </c>
      <c r="C378" s="121" t="s">
        <v>104</v>
      </c>
      <c r="D378" s="121" t="s">
        <v>71</v>
      </c>
      <c r="E378" s="121" t="s">
        <v>92</v>
      </c>
      <c r="F378" s="129" t="s">
        <v>324</v>
      </c>
      <c r="G378" s="129" t="s">
        <v>204</v>
      </c>
      <c r="H378" s="129" t="s">
        <v>340</v>
      </c>
      <c r="I378" s="129" t="s">
        <v>241</v>
      </c>
      <c r="J378" s="121" t="s">
        <v>22</v>
      </c>
      <c r="K378" s="160">
        <f t="shared" si="60"/>
        <v>3.5</v>
      </c>
      <c r="L378" s="160">
        <f t="shared" si="60"/>
        <v>3.5874999999999995</v>
      </c>
      <c r="M378" s="136">
        <f t="shared" si="60"/>
        <v>3.6750000000000003</v>
      </c>
      <c r="N378" s="124"/>
      <c r="O378" s="125"/>
    </row>
    <row r="379" spans="2:15" s="123" customFormat="1" ht="47.25">
      <c r="B379" s="120" t="s">
        <v>23</v>
      </c>
      <c r="C379" s="121" t="s">
        <v>104</v>
      </c>
      <c r="D379" s="121" t="s">
        <v>71</v>
      </c>
      <c r="E379" s="121" t="s">
        <v>92</v>
      </c>
      <c r="F379" s="129" t="s">
        <v>324</v>
      </c>
      <c r="G379" s="129" t="s">
        <v>204</v>
      </c>
      <c r="H379" s="129" t="s">
        <v>340</v>
      </c>
      <c r="I379" s="129" t="s">
        <v>241</v>
      </c>
      <c r="J379" s="121" t="s">
        <v>24</v>
      </c>
      <c r="K379" s="160">
        <f>3.5</f>
        <v>3.5</v>
      </c>
      <c r="L379" s="160">
        <f>3.5*102.5%</f>
        <v>3.5874999999999995</v>
      </c>
      <c r="M379" s="136">
        <f>3.5*105%</f>
        <v>3.6750000000000003</v>
      </c>
      <c r="N379" s="124"/>
      <c r="O379" s="125"/>
    </row>
    <row r="380" spans="2:15" s="123" customFormat="1" ht="78.75">
      <c r="B380" s="162" t="s">
        <v>341</v>
      </c>
      <c r="C380" s="121" t="s">
        <v>104</v>
      </c>
      <c r="D380" s="121" t="s">
        <v>71</v>
      </c>
      <c r="E380" s="121" t="s">
        <v>92</v>
      </c>
      <c r="F380" s="129" t="s">
        <v>324</v>
      </c>
      <c r="G380" s="129" t="s">
        <v>204</v>
      </c>
      <c r="H380" s="129" t="s">
        <v>342</v>
      </c>
      <c r="I380" s="129" t="s">
        <v>202</v>
      </c>
      <c r="J380" s="121"/>
      <c r="K380" s="160">
        <f t="shared" ref="K380:M382" si="61">K381</f>
        <v>15</v>
      </c>
      <c r="L380" s="160">
        <f t="shared" si="61"/>
        <v>15.374999999999998</v>
      </c>
      <c r="M380" s="136">
        <f t="shared" si="61"/>
        <v>15.75</v>
      </c>
      <c r="N380" s="124"/>
      <c r="O380" s="125"/>
    </row>
    <row r="381" spans="2:15" s="123" customFormat="1">
      <c r="B381" s="162" t="s">
        <v>240</v>
      </c>
      <c r="C381" s="121" t="s">
        <v>104</v>
      </c>
      <c r="D381" s="121" t="s">
        <v>71</v>
      </c>
      <c r="E381" s="121" t="s">
        <v>92</v>
      </c>
      <c r="F381" s="129" t="s">
        <v>324</v>
      </c>
      <c r="G381" s="129" t="s">
        <v>204</v>
      </c>
      <c r="H381" s="129" t="s">
        <v>342</v>
      </c>
      <c r="I381" s="129" t="s">
        <v>241</v>
      </c>
      <c r="J381" s="121"/>
      <c r="K381" s="160">
        <f t="shared" si="61"/>
        <v>15</v>
      </c>
      <c r="L381" s="160">
        <f t="shared" si="61"/>
        <v>15.374999999999998</v>
      </c>
      <c r="M381" s="136">
        <f t="shared" si="61"/>
        <v>15.75</v>
      </c>
      <c r="N381" s="124"/>
      <c r="O381" s="125"/>
    </row>
    <row r="382" spans="2:15" s="123" customFormat="1" ht="47.25">
      <c r="B382" s="120" t="s">
        <v>206</v>
      </c>
      <c r="C382" s="121" t="s">
        <v>104</v>
      </c>
      <c r="D382" s="121" t="s">
        <v>71</v>
      </c>
      <c r="E382" s="121" t="s">
        <v>92</v>
      </c>
      <c r="F382" s="129" t="s">
        <v>324</v>
      </c>
      <c r="G382" s="129" t="s">
        <v>204</v>
      </c>
      <c r="H382" s="129" t="s">
        <v>342</v>
      </c>
      <c r="I382" s="129" t="s">
        <v>241</v>
      </c>
      <c r="J382" s="121" t="s">
        <v>22</v>
      </c>
      <c r="K382" s="160">
        <f t="shared" si="61"/>
        <v>15</v>
      </c>
      <c r="L382" s="160">
        <f t="shared" si="61"/>
        <v>15.374999999999998</v>
      </c>
      <c r="M382" s="136">
        <f t="shared" si="61"/>
        <v>15.75</v>
      </c>
      <c r="N382" s="124"/>
      <c r="O382" s="125"/>
    </row>
    <row r="383" spans="2:15" s="123" customFormat="1" ht="47.25">
      <c r="B383" s="120" t="s">
        <v>23</v>
      </c>
      <c r="C383" s="121" t="s">
        <v>104</v>
      </c>
      <c r="D383" s="121" t="s">
        <v>71</v>
      </c>
      <c r="E383" s="121" t="s">
        <v>92</v>
      </c>
      <c r="F383" s="129" t="s">
        <v>324</v>
      </c>
      <c r="G383" s="129" t="s">
        <v>204</v>
      </c>
      <c r="H383" s="129" t="s">
        <v>342</v>
      </c>
      <c r="I383" s="129" t="s">
        <v>241</v>
      </c>
      <c r="J383" s="121" t="s">
        <v>24</v>
      </c>
      <c r="K383" s="160">
        <f>15</f>
        <v>15</v>
      </c>
      <c r="L383" s="160">
        <f>15*102.5%</f>
        <v>15.374999999999998</v>
      </c>
      <c r="M383" s="136">
        <f>15*105%</f>
        <v>15.75</v>
      </c>
      <c r="N383" s="124"/>
      <c r="O383" s="125"/>
    </row>
    <row r="384" spans="2:15" s="123" customFormat="1" ht="31.5">
      <c r="B384" s="162" t="s">
        <v>343</v>
      </c>
      <c r="C384" s="121" t="s">
        <v>104</v>
      </c>
      <c r="D384" s="121" t="s">
        <v>71</v>
      </c>
      <c r="E384" s="121" t="s">
        <v>92</v>
      </c>
      <c r="F384" s="129" t="s">
        <v>324</v>
      </c>
      <c r="G384" s="129" t="s">
        <v>6</v>
      </c>
      <c r="H384" s="129" t="s">
        <v>201</v>
      </c>
      <c r="I384" s="129" t="s">
        <v>202</v>
      </c>
      <c r="J384" s="121"/>
      <c r="K384" s="160">
        <f>K385+K389+K393+K397+K401+K405+K409</f>
        <v>99</v>
      </c>
      <c r="L384" s="160">
        <f>L385+L389+L393+L397+L401+L405+L409</f>
        <v>101.47499999999999</v>
      </c>
      <c r="M384" s="136">
        <f>M385+M389+M393+M397+M401+M405+M409</f>
        <v>103.95</v>
      </c>
      <c r="N384" s="124"/>
      <c r="O384" s="125"/>
    </row>
    <row r="385" spans="2:15" s="123" customFormat="1" ht="78.75">
      <c r="B385" s="162" t="s">
        <v>344</v>
      </c>
      <c r="C385" s="121" t="s">
        <v>104</v>
      </c>
      <c r="D385" s="121" t="s">
        <v>71</v>
      </c>
      <c r="E385" s="121" t="s">
        <v>92</v>
      </c>
      <c r="F385" s="129" t="s">
        <v>324</v>
      </c>
      <c r="G385" s="129" t="s">
        <v>6</v>
      </c>
      <c r="H385" s="129" t="s">
        <v>13</v>
      </c>
      <c r="I385" s="129" t="s">
        <v>202</v>
      </c>
      <c r="J385" s="121"/>
      <c r="K385" s="160">
        <f t="shared" ref="K385:M387" si="62">K386</f>
        <v>3</v>
      </c>
      <c r="L385" s="160">
        <f t="shared" si="62"/>
        <v>3.0749999999999997</v>
      </c>
      <c r="M385" s="136">
        <f t="shared" si="62"/>
        <v>3.1500000000000004</v>
      </c>
      <c r="N385" s="124"/>
      <c r="O385" s="125"/>
    </row>
    <row r="386" spans="2:15" s="123" customFormat="1">
      <c r="B386" s="162" t="s">
        <v>240</v>
      </c>
      <c r="C386" s="121" t="s">
        <v>104</v>
      </c>
      <c r="D386" s="121" t="s">
        <v>71</v>
      </c>
      <c r="E386" s="121" t="s">
        <v>92</v>
      </c>
      <c r="F386" s="129" t="s">
        <v>324</v>
      </c>
      <c r="G386" s="129" t="s">
        <v>6</v>
      </c>
      <c r="H386" s="129" t="s">
        <v>13</v>
      </c>
      <c r="I386" s="129" t="s">
        <v>241</v>
      </c>
      <c r="J386" s="121"/>
      <c r="K386" s="160">
        <f t="shared" si="62"/>
        <v>3</v>
      </c>
      <c r="L386" s="160">
        <f t="shared" si="62"/>
        <v>3.0749999999999997</v>
      </c>
      <c r="M386" s="136">
        <f t="shared" si="62"/>
        <v>3.1500000000000004</v>
      </c>
      <c r="N386" s="124"/>
      <c r="O386" s="125"/>
    </row>
    <row r="387" spans="2:15" s="123" customFormat="1" ht="47.25">
      <c r="B387" s="120" t="s">
        <v>206</v>
      </c>
      <c r="C387" s="121" t="s">
        <v>104</v>
      </c>
      <c r="D387" s="121" t="s">
        <v>71</v>
      </c>
      <c r="E387" s="121" t="s">
        <v>92</v>
      </c>
      <c r="F387" s="129" t="s">
        <v>324</v>
      </c>
      <c r="G387" s="129" t="s">
        <v>6</v>
      </c>
      <c r="H387" s="129" t="s">
        <v>13</v>
      </c>
      <c r="I387" s="129" t="s">
        <v>241</v>
      </c>
      <c r="J387" s="121" t="s">
        <v>22</v>
      </c>
      <c r="K387" s="160">
        <f t="shared" si="62"/>
        <v>3</v>
      </c>
      <c r="L387" s="160">
        <f t="shared" si="62"/>
        <v>3.0749999999999997</v>
      </c>
      <c r="M387" s="136">
        <f t="shared" si="62"/>
        <v>3.1500000000000004</v>
      </c>
      <c r="N387" s="124"/>
      <c r="O387" s="125"/>
    </row>
    <row r="388" spans="2:15" s="123" customFormat="1" ht="47.25">
      <c r="B388" s="120" t="s">
        <v>23</v>
      </c>
      <c r="C388" s="121" t="s">
        <v>104</v>
      </c>
      <c r="D388" s="121" t="s">
        <v>71</v>
      </c>
      <c r="E388" s="121" t="s">
        <v>92</v>
      </c>
      <c r="F388" s="129" t="s">
        <v>324</v>
      </c>
      <c r="G388" s="129" t="s">
        <v>6</v>
      </c>
      <c r="H388" s="129" t="s">
        <v>13</v>
      </c>
      <c r="I388" s="129" t="s">
        <v>241</v>
      </c>
      <c r="J388" s="121" t="s">
        <v>24</v>
      </c>
      <c r="K388" s="160">
        <f>3</f>
        <v>3</v>
      </c>
      <c r="L388" s="160">
        <f>3*102.5%</f>
        <v>3.0749999999999997</v>
      </c>
      <c r="M388" s="136">
        <f>3*105%</f>
        <v>3.1500000000000004</v>
      </c>
      <c r="N388" s="124"/>
      <c r="O388" s="125"/>
    </row>
    <row r="389" spans="2:15" s="123" customFormat="1" ht="126">
      <c r="B389" s="162" t="s">
        <v>345</v>
      </c>
      <c r="C389" s="121" t="s">
        <v>104</v>
      </c>
      <c r="D389" s="121" t="s">
        <v>71</v>
      </c>
      <c r="E389" s="121" t="s">
        <v>92</v>
      </c>
      <c r="F389" s="129" t="s">
        <v>324</v>
      </c>
      <c r="G389" s="129" t="s">
        <v>6</v>
      </c>
      <c r="H389" s="129" t="s">
        <v>38</v>
      </c>
      <c r="I389" s="129" t="s">
        <v>202</v>
      </c>
      <c r="J389" s="121"/>
      <c r="K389" s="160">
        <f t="shared" ref="K389:M391" si="63">K390</f>
        <v>3</v>
      </c>
      <c r="L389" s="160">
        <f t="shared" si="63"/>
        <v>3.0749999999999997</v>
      </c>
      <c r="M389" s="136">
        <f t="shared" si="63"/>
        <v>3.1500000000000004</v>
      </c>
      <c r="N389" s="124"/>
      <c r="O389" s="125"/>
    </row>
    <row r="390" spans="2:15" s="123" customFormat="1">
      <c r="B390" s="162" t="s">
        <v>240</v>
      </c>
      <c r="C390" s="121" t="s">
        <v>104</v>
      </c>
      <c r="D390" s="121" t="s">
        <v>71</v>
      </c>
      <c r="E390" s="121" t="s">
        <v>92</v>
      </c>
      <c r="F390" s="129" t="s">
        <v>324</v>
      </c>
      <c r="G390" s="129" t="s">
        <v>6</v>
      </c>
      <c r="H390" s="129" t="s">
        <v>38</v>
      </c>
      <c r="I390" s="129" t="s">
        <v>241</v>
      </c>
      <c r="J390" s="121"/>
      <c r="K390" s="160">
        <f t="shared" si="63"/>
        <v>3</v>
      </c>
      <c r="L390" s="160">
        <f t="shared" si="63"/>
        <v>3.0749999999999997</v>
      </c>
      <c r="M390" s="136">
        <f t="shared" si="63"/>
        <v>3.1500000000000004</v>
      </c>
      <c r="N390" s="124"/>
      <c r="O390" s="125"/>
    </row>
    <row r="391" spans="2:15" s="123" customFormat="1" ht="47.25">
      <c r="B391" s="120" t="s">
        <v>206</v>
      </c>
      <c r="C391" s="121" t="s">
        <v>104</v>
      </c>
      <c r="D391" s="121" t="s">
        <v>71</v>
      </c>
      <c r="E391" s="121" t="s">
        <v>92</v>
      </c>
      <c r="F391" s="129" t="s">
        <v>324</v>
      </c>
      <c r="G391" s="129" t="s">
        <v>6</v>
      </c>
      <c r="H391" s="129" t="s">
        <v>38</v>
      </c>
      <c r="I391" s="129" t="s">
        <v>241</v>
      </c>
      <c r="J391" s="121" t="s">
        <v>22</v>
      </c>
      <c r="K391" s="160">
        <f t="shared" si="63"/>
        <v>3</v>
      </c>
      <c r="L391" s="160">
        <f t="shared" si="63"/>
        <v>3.0749999999999997</v>
      </c>
      <c r="M391" s="136">
        <f t="shared" si="63"/>
        <v>3.1500000000000004</v>
      </c>
      <c r="N391" s="124"/>
      <c r="O391" s="125"/>
    </row>
    <row r="392" spans="2:15" s="123" customFormat="1" ht="47.25">
      <c r="B392" s="120" t="s">
        <v>23</v>
      </c>
      <c r="C392" s="121" t="s">
        <v>104</v>
      </c>
      <c r="D392" s="121" t="s">
        <v>71</v>
      </c>
      <c r="E392" s="121" t="s">
        <v>92</v>
      </c>
      <c r="F392" s="129" t="s">
        <v>324</v>
      </c>
      <c r="G392" s="129" t="s">
        <v>6</v>
      </c>
      <c r="H392" s="129" t="s">
        <v>38</v>
      </c>
      <c r="I392" s="129" t="s">
        <v>241</v>
      </c>
      <c r="J392" s="121" t="s">
        <v>24</v>
      </c>
      <c r="K392" s="160">
        <f>3</f>
        <v>3</v>
      </c>
      <c r="L392" s="160">
        <f>3*102.5%</f>
        <v>3.0749999999999997</v>
      </c>
      <c r="M392" s="136">
        <f>3*105%</f>
        <v>3.1500000000000004</v>
      </c>
      <c r="N392" s="124"/>
      <c r="O392" s="125"/>
    </row>
    <row r="393" spans="2:15" s="123" customFormat="1" ht="78.75">
      <c r="B393" s="162" t="s">
        <v>346</v>
      </c>
      <c r="C393" s="121" t="s">
        <v>104</v>
      </c>
      <c r="D393" s="121" t="s">
        <v>71</v>
      </c>
      <c r="E393" s="121" t="s">
        <v>92</v>
      </c>
      <c r="F393" s="129" t="s">
        <v>324</v>
      </c>
      <c r="G393" s="129" t="s">
        <v>6</v>
      </c>
      <c r="H393" s="129" t="s">
        <v>39</v>
      </c>
      <c r="I393" s="129" t="s">
        <v>202</v>
      </c>
      <c r="J393" s="121"/>
      <c r="K393" s="160">
        <f t="shared" ref="K393:M395" si="64">K394</f>
        <v>3</v>
      </c>
      <c r="L393" s="160">
        <f t="shared" si="64"/>
        <v>3.0749999999999997</v>
      </c>
      <c r="M393" s="136">
        <f t="shared" si="64"/>
        <v>3.1500000000000004</v>
      </c>
      <c r="N393" s="124"/>
      <c r="O393" s="125"/>
    </row>
    <row r="394" spans="2:15" s="123" customFormat="1">
      <c r="B394" s="162" t="s">
        <v>240</v>
      </c>
      <c r="C394" s="121" t="s">
        <v>104</v>
      </c>
      <c r="D394" s="121" t="s">
        <v>71</v>
      </c>
      <c r="E394" s="121" t="s">
        <v>92</v>
      </c>
      <c r="F394" s="129" t="s">
        <v>324</v>
      </c>
      <c r="G394" s="129" t="s">
        <v>6</v>
      </c>
      <c r="H394" s="129" t="s">
        <v>39</v>
      </c>
      <c r="I394" s="129" t="s">
        <v>241</v>
      </c>
      <c r="J394" s="121"/>
      <c r="K394" s="160">
        <f t="shared" si="64"/>
        <v>3</v>
      </c>
      <c r="L394" s="160">
        <f t="shared" si="64"/>
        <v>3.0749999999999997</v>
      </c>
      <c r="M394" s="136">
        <f t="shared" si="64"/>
        <v>3.1500000000000004</v>
      </c>
      <c r="N394" s="124"/>
      <c r="O394" s="125"/>
    </row>
    <row r="395" spans="2:15" s="123" customFormat="1" ht="47.25">
      <c r="B395" s="120" t="s">
        <v>206</v>
      </c>
      <c r="C395" s="121" t="s">
        <v>104</v>
      </c>
      <c r="D395" s="121" t="s">
        <v>71</v>
      </c>
      <c r="E395" s="121" t="s">
        <v>92</v>
      </c>
      <c r="F395" s="129" t="s">
        <v>324</v>
      </c>
      <c r="G395" s="129" t="s">
        <v>6</v>
      </c>
      <c r="H395" s="129" t="s">
        <v>39</v>
      </c>
      <c r="I395" s="129" t="s">
        <v>241</v>
      </c>
      <c r="J395" s="121" t="s">
        <v>22</v>
      </c>
      <c r="K395" s="160">
        <f t="shared" si="64"/>
        <v>3</v>
      </c>
      <c r="L395" s="160">
        <f t="shared" si="64"/>
        <v>3.0749999999999997</v>
      </c>
      <c r="M395" s="136">
        <f t="shared" si="64"/>
        <v>3.1500000000000004</v>
      </c>
      <c r="N395" s="124"/>
      <c r="O395" s="125"/>
    </row>
    <row r="396" spans="2:15" s="123" customFormat="1" ht="47.25">
      <c r="B396" s="120" t="s">
        <v>23</v>
      </c>
      <c r="C396" s="121" t="s">
        <v>104</v>
      </c>
      <c r="D396" s="121" t="s">
        <v>71</v>
      </c>
      <c r="E396" s="121" t="s">
        <v>92</v>
      </c>
      <c r="F396" s="129" t="s">
        <v>324</v>
      </c>
      <c r="G396" s="129" t="s">
        <v>6</v>
      </c>
      <c r="H396" s="129" t="s">
        <v>39</v>
      </c>
      <c r="I396" s="129" t="s">
        <v>241</v>
      </c>
      <c r="J396" s="121" t="s">
        <v>24</v>
      </c>
      <c r="K396" s="160">
        <f>3</f>
        <v>3</v>
      </c>
      <c r="L396" s="160">
        <f>3*102.5%</f>
        <v>3.0749999999999997</v>
      </c>
      <c r="M396" s="136">
        <f>3*105%</f>
        <v>3.1500000000000004</v>
      </c>
      <c r="N396" s="124"/>
      <c r="O396" s="125"/>
    </row>
    <row r="397" spans="2:15" s="123" customFormat="1" ht="94.5">
      <c r="B397" s="162" t="s">
        <v>347</v>
      </c>
      <c r="C397" s="121" t="s">
        <v>104</v>
      </c>
      <c r="D397" s="121" t="s">
        <v>71</v>
      </c>
      <c r="E397" s="121" t="s">
        <v>92</v>
      </c>
      <c r="F397" s="129" t="s">
        <v>324</v>
      </c>
      <c r="G397" s="129" t="s">
        <v>6</v>
      </c>
      <c r="H397" s="129" t="s">
        <v>67</v>
      </c>
      <c r="I397" s="129" t="s">
        <v>202</v>
      </c>
      <c r="J397" s="121"/>
      <c r="K397" s="160">
        <f t="shared" ref="K397:M399" si="65">K398</f>
        <v>10</v>
      </c>
      <c r="L397" s="160">
        <f t="shared" si="65"/>
        <v>10.25</v>
      </c>
      <c r="M397" s="136">
        <f t="shared" si="65"/>
        <v>10.5</v>
      </c>
      <c r="N397" s="124"/>
      <c r="O397" s="125"/>
    </row>
    <row r="398" spans="2:15" s="123" customFormat="1">
      <c r="B398" s="162" t="s">
        <v>240</v>
      </c>
      <c r="C398" s="121" t="s">
        <v>104</v>
      </c>
      <c r="D398" s="121" t="s">
        <v>71</v>
      </c>
      <c r="E398" s="121" t="s">
        <v>92</v>
      </c>
      <c r="F398" s="129" t="s">
        <v>324</v>
      </c>
      <c r="G398" s="129" t="s">
        <v>6</v>
      </c>
      <c r="H398" s="129" t="s">
        <v>67</v>
      </c>
      <c r="I398" s="129" t="s">
        <v>241</v>
      </c>
      <c r="J398" s="121"/>
      <c r="K398" s="160">
        <f t="shared" si="65"/>
        <v>10</v>
      </c>
      <c r="L398" s="160">
        <f t="shared" si="65"/>
        <v>10.25</v>
      </c>
      <c r="M398" s="136">
        <f t="shared" si="65"/>
        <v>10.5</v>
      </c>
      <c r="N398" s="124"/>
      <c r="O398" s="125"/>
    </row>
    <row r="399" spans="2:15" s="123" customFormat="1" ht="47.25">
      <c r="B399" s="120" t="s">
        <v>206</v>
      </c>
      <c r="C399" s="121" t="s">
        <v>104</v>
      </c>
      <c r="D399" s="121" t="s">
        <v>71</v>
      </c>
      <c r="E399" s="121" t="s">
        <v>92</v>
      </c>
      <c r="F399" s="129" t="s">
        <v>324</v>
      </c>
      <c r="G399" s="129" t="s">
        <v>6</v>
      </c>
      <c r="H399" s="129" t="s">
        <v>67</v>
      </c>
      <c r="I399" s="129" t="s">
        <v>241</v>
      </c>
      <c r="J399" s="121" t="s">
        <v>22</v>
      </c>
      <c r="K399" s="160">
        <f t="shared" si="65"/>
        <v>10</v>
      </c>
      <c r="L399" s="160">
        <f t="shared" si="65"/>
        <v>10.25</v>
      </c>
      <c r="M399" s="136">
        <f t="shared" si="65"/>
        <v>10.5</v>
      </c>
      <c r="N399" s="124"/>
      <c r="O399" s="125"/>
    </row>
    <row r="400" spans="2:15" s="123" customFormat="1" ht="47.25">
      <c r="B400" s="120" t="s">
        <v>23</v>
      </c>
      <c r="C400" s="121" t="s">
        <v>104</v>
      </c>
      <c r="D400" s="121" t="s">
        <v>71</v>
      </c>
      <c r="E400" s="121" t="s">
        <v>92</v>
      </c>
      <c r="F400" s="129" t="s">
        <v>324</v>
      </c>
      <c r="G400" s="129" t="s">
        <v>6</v>
      </c>
      <c r="H400" s="129" t="s">
        <v>67</v>
      </c>
      <c r="I400" s="129" t="s">
        <v>241</v>
      </c>
      <c r="J400" s="121" t="s">
        <v>24</v>
      </c>
      <c r="K400" s="160">
        <f>10</f>
        <v>10</v>
      </c>
      <c r="L400" s="160">
        <f>10*102.5%</f>
        <v>10.25</v>
      </c>
      <c r="M400" s="136">
        <f>10*105%</f>
        <v>10.5</v>
      </c>
      <c r="N400" s="124"/>
      <c r="O400" s="125"/>
    </row>
    <row r="401" spans="2:15" s="123" customFormat="1" ht="94.5">
      <c r="B401" s="162" t="s">
        <v>348</v>
      </c>
      <c r="C401" s="121" t="s">
        <v>104</v>
      </c>
      <c r="D401" s="121" t="s">
        <v>71</v>
      </c>
      <c r="E401" s="121" t="s">
        <v>92</v>
      </c>
      <c r="F401" s="129" t="s">
        <v>324</v>
      </c>
      <c r="G401" s="129" t="s">
        <v>6</v>
      </c>
      <c r="H401" s="129" t="s">
        <v>71</v>
      </c>
      <c r="I401" s="129" t="s">
        <v>202</v>
      </c>
      <c r="J401" s="121"/>
      <c r="K401" s="160">
        <f t="shared" ref="K401:M403" si="66">K402</f>
        <v>25</v>
      </c>
      <c r="L401" s="160">
        <f t="shared" si="66"/>
        <v>25.624999999999996</v>
      </c>
      <c r="M401" s="136">
        <f t="shared" si="66"/>
        <v>26.25</v>
      </c>
      <c r="N401" s="124"/>
      <c r="O401" s="125"/>
    </row>
    <row r="402" spans="2:15" s="123" customFormat="1">
      <c r="B402" s="162" t="s">
        <v>240</v>
      </c>
      <c r="C402" s="121" t="s">
        <v>104</v>
      </c>
      <c r="D402" s="121" t="s">
        <v>71</v>
      </c>
      <c r="E402" s="121" t="s">
        <v>92</v>
      </c>
      <c r="F402" s="129" t="s">
        <v>324</v>
      </c>
      <c r="G402" s="129" t="s">
        <v>6</v>
      </c>
      <c r="H402" s="129" t="s">
        <v>71</v>
      </c>
      <c r="I402" s="129" t="s">
        <v>241</v>
      </c>
      <c r="J402" s="121"/>
      <c r="K402" s="160">
        <f t="shared" si="66"/>
        <v>25</v>
      </c>
      <c r="L402" s="160">
        <f t="shared" si="66"/>
        <v>25.624999999999996</v>
      </c>
      <c r="M402" s="136">
        <f t="shared" si="66"/>
        <v>26.25</v>
      </c>
      <c r="N402" s="124"/>
      <c r="O402" s="125"/>
    </row>
    <row r="403" spans="2:15" s="123" customFormat="1" ht="47.25">
      <c r="B403" s="120" t="s">
        <v>206</v>
      </c>
      <c r="C403" s="121" t="s">
        <v>104</v>
      </c>
      <c r="D403" s="121" t="s">
        <v>71</v>
      </c>
      <c r="E403" s="121" t="s">
        <v>92</v>
      </c>
      <c r="F403" s="129" t="s">
        <v>324</v>
      </c>
      <c r="G403" s="129" t="s">
        <v>6</v>
      </c>
      <c r="H403" s="129" t="s">
        <v>71</v>
      </c>
      <c r="I403" s="129" t="s">
        <v>241</v>
      </c>
      <c r="J403" s="121" t="s">
        <v>22</v>
      </c>
      <c r="K403" s="160">
        <f t="shared" si="66"/>
        <v>25</v>
      </c>
      <c r="L403" s="160">
        <f t="shared" si="66"/>
        <v>25.624999999999996</v>
      </c>
      <c r="M403" s="136">
        <f t="shared" si="66"/>
        <v>26.25</v>
      </c>
      <c r="N403" s="124"/>
      <c r="O403" s="125"/>
    </row>
    <row r="404" spans="2:15" s="123" customFormat="1" ht="47.25">
      <c r="B404" s="120" t="s">
        <v>23</v>
      </c>
      <c r="C404" s="121" t="s">
        <v>104</v>
      </c>
      <c r="D404" s="121" t="s">
        <v>71</v>
      </c>
      <c r="E404" s="121" t="s">
        <v>92</v>
      </c>
      <c r="F404" s="129" t="s">
        <v>324</v>
      </c>
      <c r="G404" s="129" t="s">
        <v>6</v>
      </c>
      <c r="H404" s="129" t="s">
        <v>71</v>
      </c>
      <c r="I404" s="129" t="s">
        <v>241</v>
      </c>
      <c r="J404" s="121" t="s">
        <v>24</v>
      </c>
      <c r="K404" s="160">
        <f>25</f>
        <v>25</v>
      </c>
      <c r="L404" s="160">
        <f>25*102.5%</f>
        <v>25.624999999999996</v>
      </c>
      <c r="M404" s="136">
        <f>25*105%</f>
        <v>26.25</v>
      </c>
      <c r="N404" s="124"/>
      <c r="O404" s="125"/>
    </row>
    <row r="405" spans="2:15" s="123" customFormat="1" ht="47.25">
      <c r="B405" s="162" t="s">
        <v>349</v>
      </c>
      <c r="C405" s="121" t="s">
        <v>104</v>
      </c>
      <c r="D405" s="121" t="s">
        <v>71</v>
      </c>
      <c r="E405" s="121" t="s">
        <v>92</v>
      </c>
      <c r="F405" s="129" t="s">
        <v>324</v>
      </c>
      <c r="G405" s="129" t="s">
        <v>6</v>
      </c>
      <c r="H405" s="129" t="s">
        <v>123</v>
      </c>
      <c r="I405" s="129" t="s">
        <v>202</v>
      </c>
      <c r="J405" s="121"/>
      <c r="K405" s="160">
        <f t="shared" ref="K405:M407" si="67">K406</f>
        <v>40</v>
      </c>
      <c r="L405" s="160">
        <f t="shared" si="67"/>
        <v>41</v>
      </c>
      <c r="M405" s="136">
        <f t="shared" si="67"/>
        <v>42</v>
      </c>
      <c r="N405" s="124"/>
      <c r="O405" s="125"/>
    </row>
    <row r="406" spans="2:15" s="123" customFormat="1">
      <c r="B406" s="162" t="s">
        <v>240</v>
      </c>
      <c r="C406" s="121" t="s">
        <v>104</v>
      </c>
      <c r="D406" s="121" t="s">
        <v>71</v>
      </c>
      <c r="E406" s="121" t="s">
        <v>92</v>
      </c>
      <c r="F406" s="129" t="s">
        <v>324</v>
      </c>
      <c r="G406" s="129" t="s">
        <v>6</v>
      </c>
      <c r="H406" s="129" t="s">
        <v>123</v>
      </c>
      <c r="I406" s="129" t="s">
        <v>241</v>
      </c>
      <c r="J406" s="121"/>
      <c r="K406" s="160">
        <f t="shared" si="67"/>
        <v>40</v>
      </c>
      <c r="L406" s="160">
        <f t="shared" si="67"/>
        <v>41</v>
      </c>
      <c r="M406" s="136">
        <f t="shared" si="67"/>
        <v>42</v>
      </c>
      <c r="N406" s="124"/>
      <c r="O406" s="125"/>
    </row>
    <row r="407" spans="2:15" s="123" customFormat="1" ht="47.25">
      <c r="B407" s="120" t="s">
        <v>206</v>
      </c>
      <c r="C407" s="121" t="s">
        <v>104</v>
      </c>
      <c r="D407" s="121" t="s">
        <v>71</v>
      </c>
      <c r="E407" s="121" t="s">
        <v>92</v>
      </c>
      <c r="F407" s="129" t="s">
        <v>324</v>
      </c>
      <c r="G407" s="129" t="s">
        <v>6</v>
      </c>
      <c r="H407" s="129" t="s">
        <v>123</v>
      </c>
      <c r="I407" s="129" t="s">
        <v>241</v>
      </c>
      <c r="J407" s="121" t="s">
        <v>22</v>
      </c>
      <c r="K407" s="160">
        <f t="shared" si="67"/>
        <v>40</v>
      </c>
      <c r="L407" s="160">
        <f t="shared" si="67"/>
        <v>41</v>
      </c>
      <c r="M407" s="136">
        <f t="shared" si="67"/>
        <v>42</v>
      </c>
      <c r="N407" s="124"/>
      <c r="O407" s="125"/>
    </row>
    <row r="408" spans="2:15" s="123" customFormat="1" ht="47.25">
      <c r="B408" s="120" t="s">
        <v>23</v>
      </c>
      <c r="C408" s="121" t="s">
        <v>104</v>
      </c>
      <c r="D408" s="121" t="s">
        <v>71</v>
      </c>
      <c r="E408" s="121" t="s">
        <v>92</v>
      </c>
      <c r="F408" s="129" t="s">
        <v>324</v>
      </c>
      <c r="G408" s="129" t="s">
        <v>6</v>
      </c>
      <c r="H408" s="129" t="s">
        <v>123</v>
      </c>
      <c r="I408" s="129" t="s">
        <v>241</v>
      </c>
      <c r="J408" s="121" t="s">
        <v>24</v>
      </c>
      <c r="K408" s="160">
        <f>40</f>
        <v>40</v>
      </c>
      <c r="L408" s="160">
        <f>40*102.5%</f>
        <v>41</v>
      </c>
      <c r="M408" s="136">
        <f>40*105%</f>
        <v>42</v>
      </c>
      <c r="N408" s="124"/>
      <c r="O408" s="125"/>
    </row>
    <row r="409" spans="2:15" s="123" customFormat="1" ht="47.25">
      <c r="B409" s="162" t="s">
        <v>350</v>
      </c>
      <c r="C409" s="121" t="s">
        <v>104</v>
      </c>
      <c r="D409" s="121" t="s">
        <v>71</v>
      </c>
      <c r="E409" s="121" t="s">
        <v>92</v>
      </c>
      <c r="F409" s="129" t="s">
        <v>324</v>
      </c>
      <c r="G409" s="129" t="s">
        <v>6</v>
      </c>
      <c r="H409" s="129" t="s">
        <v>92</v>
      </c>
      <c r="I409" s="129" t="s">
        <v>202</v>
      </c>
      <c r="J409" s="138"/>
      <c r="K409" s="160">
        <f t="shared" ref="K409:M411" si="68">K410</f>
        <v>15</v>
      </c>
      <c r="L409" s="160">
        <f t="shared" si="68"/>
        <v>15.374999999999998</v>
      </c>
      <c r="M409" s="136">
        <f t="shared" si="68"/>
        <v>15.75</v>
      </c>
      <c r="N409" s="124"/>
      <c r="O409" s="125"/>
    </row>
    <row r="410" spans="2:15" s="123" customFormat="1">
      <c r="B410" s="162" t="s">
        <v>240</v>
      </c>
      <c r="C410" s="121" t="s">
        <v>104</v>
      </c>
      <c r="D410" s="121" t="s">
        <v>71</v>
      </c>
      <c r="E410" s="121" t="s">
        <v>92</v>
      </c>
      <c r="F410" s="129" t="s">
        <v>324</v>
      </c>
      <c r="G410" s="129" t="s">
        <v>6</v>
      </c>
      <c r="H410" s="129" t="s">
        <v>92</v>
      </c>
      <c r="I410" s="129" t="s">
        <v>241</v>
      </c>
      <c r="J410" s="138"/>
      <c r="K410" s="160">
        <f t="shared" si="68"/>
        <v>15</v>
      </c>
      <c r="L410" s="160">
        <f t="shared" si="68"/>
        <v>15.374999999999998</v>
      </c>
      <c r="M410" s="136">
        <f t="shared" si="68"/>
        <v>15.75</v>
      </c>
      <c r="N410" s="124"/>
      <c r="O410" s="125"/>
    </row>
    <row r="411" spans="2:15" s="123" customFormat="1" ht="94.5">
      <c r="B411" s="120" t="s">
        <v>17</v>
      </c>
      <c r="C411" s="121" t="s">
        <v>104</v>
      </c>
      <c r="D411" s="121" t="s">
        <v>71</v>
      </c>
      <c r="E411" s="121" t="s">
        <v>92</v>
      </c>
      <c r="F411" s="129" t="s">
        <v>324</v>
      </c>
      <c r="G411" s="129" t="s">
        <v>6</v>
      </c>
      <c r="H411" s="129" t="s">
        <v>92</v>
      </c>
      <c r="I411" s="129" t="s">
        <v>241</v>
      </c>
      <c r="J411" s="121" t="s">
        <v>18</v>
      </c>
      <c r="K411" s="160">
        <f t="shared" si="68"/>
        <v>15</v>
      </c>
      <c r="L411" s="160">
        <f t="shared" si="68"/>
        <v>15.374999999999998</v>
      </c>
      <c r="M411" s="136">
        <f t="shared" si="68"/>
        <v>15.75</v>
      </c>
      <c r="N411" s="124"/>
      <c r="O411" s="125"/>
    </row>
    <row r="412" spans="2:15" s="123" customFormat="1" ht="31.5">
      <c r="B412" s="128" t="s">
        <v>102</v>
      </c>
      <c r="C412" s="121" t="s">
        <v>104</v>
      </c>
      <c r="D412" s="121" t="s">
        <v>71</v>
      </c>
      <c r="E412" s="121" t="s">
        <v>92</v>
      </c>
      <c r="F412" s="129" t="s">
        <v>324</v>
      </c>
      <c r="G412" s="129" t="s">
        <v>6</v>
      </c>
      <c r="H412" s="129" t="s">
        <v>92</v>
      </c>
      <c r="I412" s="129" t="s">
        <v>241</v>
      </c>
      <c r="J412" s="121" t="s">
        <v>103</v>
      </c>
      <c r="K412" s="160">
        <f>15</f>
        <v>15</v>
      </c>
      <c r="L412" s="160">
        <f>15*102.5%</f>
        <v>15.374999999999998</v>
      </c>
      <c r="M412" s="136">
        <f>15*105%</f>
        <v>15.75</v>
      </c>
      <c r="N412" s="124"/>
      <c r="O412" s="125"/>
    </row>
    <row r="413" spans="2:15" s="123" customFormat="1" ht="78.75">
      <c r="B413" s="162" t="s">
        <v>351</v>
      </c>
      <c r="C413" s="121" t="s">
        <v>104</v>
      </c>
      <c r="D413" s="121" t="s">
        <v>71</v>
      </c>
      <c r="E413" s="121" t="s">
        <v>92</v>
      </c>
      <c r="F413" s="129" t="s">
        <v>324</v>
      </c>
      <c r="G413" s="129" t="s">
        <v>7</v>
      </c>
      <c r="H413" s="129" t="s">
        <v>201</v>
      </c>
      <c r="I413" s="129" t="s">
        <v>202</v>
      </c>
      <c r="J413" s="121"/>
      <c r="K413" s="160">
        <f>K414+K418+K422+K426</f>
        <v>100</v>
      </c>
      <c r="L413" s="160">
        <f>L414+L418+L422+L426</f>
        <v>102.5</v>
      </c>
      <c r="M413" s="136">
        <f>M414+M418+M422+M426</f>
        <v>105</v>
      </c>
      <c r="N413" s="124"/>
      <c r="O413" s="125"/>
    </row>
    <row r="414" spans="2:15" s="123" customFormat="1" ht="47.25">
      <c r="B414" s="162" t="s">
        <v>352</v>
      </c>
      <c r="C414" s="121" t="s">
        <v>104</v>
      </c>
      <c r="D414" s="121" t="s">
        <v>71</v>
      </c>
      <c r="E414" s="121" t="s">
        <v>92</v>
      </c>
      <c r="F414" s="129" t="s">
        <v>324</v>
      </c>
      <c r="G414" s="129" t="s">
        <v>7</v>
      </c>
      <c r="H414" s="129" t="s">
        <v>38</v>
      </c>
      <c r="I414" s="129" t="s">
        <v>202</v>
      </c>
      <c r="J414" s="121"/>
      <c r="K414" s="160">
        <f t="shared" ref="K414:M416" si="69">K415</f>
        <v>50</v>
      </c>
      <c r="L414" s="160">
        <f t="shared" si="69"/>
        <v>51.249999999999993</v>
      </c>
      <c r="M414" s="136">
        <f t="shared" si="69"/>
        <v>52.5</v>
      </c>
      <c r="N414" s="124"/>
      <c r="O414" s="125"/>
    </row>
    <row r="415" spans="2:15" s="123" customFormat="1">
      <c r="B415" s="162" t="s">
        <v>240</v>
      </c>
      <c r="C415" s="121" t="s">
        <v>104</v>
      </c>
      <c r="D415" s="121" t="s">
        <v>71</v>
      </c>
      <c r="E415" s="121" t="s">
        <v>92</v>
      </c>
      <c r="F415" s="129" t="s">
        <v>324</v>
      </c>
      <c r="G415" s="129" t="s">
        <v>7</v>
      </c>
      <c r="H415" s="129" t="s">
        <v>38</v>
      </c>
      <c r="I415" s="129" t="s">
        <v>241</v>
      </c>
      <c r="J415" s="121"/>
      <c r="K415" s="160">
        <f t="shared" si="69"/>
        <v>50</v>
      </c>
      <c r="L415" s="160">
        <f t="shared" si="69"/>
        <v>51.249999999999993</v>
      </c>
      <c r="M415" s="136">
        <f t="shared" si="69"/>
        <v>52.5</v>
      </c>
      <c r="N415" s="124"/>
      <c r="O415" s="125"/>
    </row>
    <row r="416" spans="2:15" s="123" customFormat="1" ht="47.25">
      <c r="B416" s="120" t="s">
        <v>206</v>
      </c>
      <c r="C416" s="121" t="s">
        <v>104</v>
      </c>
      <c r="D416" s="121" t="s">
        <v>71</v>
      </c>
      <c r="E416" s="121" t="s">
        <v>92</v>
      </c>
      <c r="F416" s="129" t="s">
        <v>324</v>
      </c>
      <c r="G416" s="129" t="s">
        <v>7</v>
      </c>
      <c r="H416" s="129" t="s">
        <v>38</v>
      </c>
      <c r="I416" s="129" t="s">
        <v>241</v>
      </c>
      <c r="J416" s="121" t="s">
        <v>22</v>
      </c>
      <c r="K416" s="160">
        <f t="shared" si="69"/>
        <v>50</v>
      </c>
      <c r="L416" s="160">
        <f t="shared" si="69"/>
        <v>51.249999999999993</v>
      </c>
      <c r="M416" s="136">
        <f t="shared" si="69"/>
        <v>52.5</v>
      </c>
      <c r="N416" s="124"/>
      <c r="O416" s="125"/>
    </row>
    <row r="417" spans="2:15" s="123" customFormat="1" ht="47.25">
      <c r="B417" s="120" t="s">
        <v>23</v>
      </c>
      <c r="C417" s="121" t="s">
        <v>104</v>
      </c>
      <c r="D417" s="121" t="s">
        <v>71</v>
      </c>
      <c r="E417" s="121" t="s">
        <v>92</v>
      </c>
      <c r="F417" s="129" t="s">
        <v>324</v>
      </c>
      <c r="G417" s="129" t="s">
        <v>7</v>
      </c>
      <c r="H417" s="129" t="s">
        <v>38</v>
      </c>
      <c r="I417" s="129" t="s">
        <v>241</v>
      </c>
      <c r="J417" s="121" t="s">
        <v>24</v>
      </c>
      <c r="K417" s="160">
        <f>50</f>
        <v>50</v>
      </c>
      <c r="L417" s="160">
        <f>50*102.5%</f>
        <v>51.249999999999993</v>
      </c>
      <c r="M417" s="136">
        <f>50*105%</f>
        <v>52.5</v>
      </c>
      <c r="N417" s="124"/>
      <c r="O417" s="125"/>
    </row>
    <row r="418" spans="2:15" s="123" customFormat="1" ht="157.5">
      <c r="B418" s="162" t="s">
        <v>353</v>
      </c>
      <c r="C418" s="121" t="s">
        <v>104</v>
      </c>
      <c r="D418" s="121" t="s">
        <v>71</v>
      </c>
      <c r="E418" s="121" t="s">
        <v>92</v>
      </c>
      <c r="F418" s="129" t="s">
        <v>324</v>
      </c>
      <c r="G418" s="129" t="s">
        <v>7</v>
      </c>
      <c r="H418" s="129" t="s">
        <v>71</v>
      </c>
      <c r="I418" s="129" t="s">
        <v>202</v>
      </c>
      <c r="J418" s="121"/>
      <c r="K418" s="160">
        <f t="shared" ref="K418:M420" si="70">K419</f>
        <v>10</v>
      </c>
      <c r="L418" s="160">
        <f t="shared" si="70"/>
        <v>10.25</v>
      </c>
      <c r="M418" s="136">
        <f t="shared" si="70"/>
        <v>10.5</v>
      </c>
      <c r="N418" s="124"/>
      <c r="O418" s="125"/>
    </row>
    <row r="419" spans="2:15" s="123" customFormat="1">
      <c r="B419" s="162" t="s">
        <v>240</v>
      </c>
      <c r="C419" s="121" t="s">
        <v>104</v>
      </c>
      <c r="D419" s="121" t="s">
        <v>71</v>
      </c>
      <c r="E419" s="121" t="s">
        <v>92</v>
      </c>
      <c r="F419" s="129" t="s">
        <v>324</v>
      </c>
      <c r="G419" s="129" t="s">
        <v>7</v>
      </c>
      <c r="H419" s="129" t="s">
        <v>71</v>
      </c>
      <c r="I419" s="129" t="s">
        <v>241</v>
      </c>
      <c r="J419" s="121"/>
      <c r="K419" s="160">
        <f t="shared" si="70"/>
        <v>10</v>
      </c>
      <c r="L419" s="160">
        <f t="shared" si="70"/>
        <v>10.25</v>
      </c>
      <c r="M419" s="136">
        <f t="shared" si="70"/>
        <v>10.5</v>
      </c>
      <c r="N419" s="124"/>
      <c r="O419" s="125"/>
    </row>
    <row r="420" spans="2:15" s="123" customFormat="1" ht="47.25">
      <c r="B420" s="120" t="s">
        <v>206</v>
      </c>
      <c r="C420" s="121" t="s">
        <v>104</v>
      </c>
      <c r="D420" s="121" t="s">
        <v>71</v>
      </c>
      <c r="E420" s="121" t="s">
        <v>92</v>
      </c>
      <c r="F420" s="129" t="s">
        <v>324</v>
      </c>
      <c r="G420" s="129" t="s">
        <v>7</v>
      </c>
      <c r="H420" s="129" t="s">
        <v>71</v>
      </c>
      <c r="I420" s="129" t="s">
        <v>241</v>
      </c>
      <c r="J420" s="121" t="s">
        <v>22</v>
      </c>
      <c r="K420" s="160">
        <f t="shared" si="70"/>
        <v>10</v>
      </c>
      <c r="L420" s="160">
        <f t="shared" si="70"/>
        <v>10.25</v>
      </c>
      <c r="M420" s="136">
        <f t="shared" si="70"/>
        <v>10.5</v>
      </c>
      <c r="N420" s="124"/>
      <c r="O420" s="125"/>
    </row>
    <row r="421" spans="2:15" s="123" customFormat="1" ht="47.25">
      <c r="B421" s="120" t="s">
        <v>23</v>
      </c>
      <c r="C421" s="121" t="s">
        <v>104</v>
      </c>
      <c r="D421" s="121" t="s">
        <v>71</v>
      </c>
      <c r="E421" s="121" t="s">
        <v>92</v>
      </c>
      <c r="F421" s="129" t="s">
        <v>324</v>
      </c>
      <c r="G421" s="129" t="s">
        <v>7</v>
      </c>
      <c r="H421" s="129" t="s">
        <v>71</v>
      </c>
      <c r="I421" s="129" t="s">
        <v>241</v>
      </c>
      <c r="J421" s="121" t="s">
        <v>24</v>
      </c>
      <c r="K421" s="160">
        <f>10</f>
        <v>10</v>
      </c>
      <c r="L421" s="160">
        <f>10*102.5%</f>
        <v>10.25</v>
      </c>
      <c r="M421" s="136">
        <f>10*105%</f>
        <v>10.5</v>
      </c>
      <c r="N421" s="124"/>
      <c r="O421" s="125"/>
    </row>
    <row r="422" spans="2:15" s="123" customFormat="1" ht="126">
      <c r="B422" s="162" t="s">
        <v>354</v>
      </c>
      <c r="C422" s="121" t="s">
        <v>104</v>
      </c>
      <c r="D422" s="121" t="s">
        <v>71</v>
      </c>
      <c r="E422" s="121" t="s">
        <v>92</v>
      </c>
      <c r="F422" s="129" t="s">
        <v>324</v>
      </c>
      <c r="G422" s="129" t="s">
        <v>7</v>
      </c>
      <c r="H422" s="129" t="s">
        <v>123</v>
      </c>
      <c r="I422" s="129" t="s">
        <v>202</v>
      </c>
      <c r="J422" s="121"/>
      <c r="K422" s="160">
        <f t="shared" ref="K422:M424" si="71">K423</f>
        <v>20</v>
      </c>
      <c r="L422" s="160">
        <f t="shared" si="71"/>
        <v>20.5</v>
      </c>
      <c r="M422" s="136">
        <f t="shared" si="71"/>
        <v>21</v>
      </c>
      <c r="N422" s="124"/>
      <c r="O422" s="125"/>
    </row>
    <row r="423" spans="2:15" s="123" customFormat="1" ht="21.75" customHeight="1">
      <c r="B423" s="162" t="s">
        <v>240</v>
      </c>
      <c r="C423" s="121" t="s">
        <v>104</v>
      </c>
      <c r="D423" s="121" t="s">
        <v>71</v>
      </c>
      <c r="E423" s="121" t="s">
        <v>92</v>
      </c>
      <c r="F423" s="129" t="s">
        <v>324</v>
      </c>
      <c r="G423" s="129" t="s">
        <v>7</v>
      </c>
      <c r="H423" s="129" t="s">
        <v>123</v>
      </c>
      <c r="I423" s="129" t="s">
        <v>241</v>
      </c>
      <c r="J423" s="121"/>
      <c r="K423" s="160">
        <f t="shared" si="71"/>
        <v>20</v>
      </c>
      <c r="L423" s="160">
        <f t="shared" si="71"/>
        <v>20.5</v>
      </c>
      <c r="M423" s="136">
        <f t="shared" si="71"/>
        <v>21</v>
      </c>
      <c r="N423" s="124"/>
      <c r="O423" s="125"/>
    </row>
    <row r="424" spans="2:15" s="123" customFormat="1" ht="45" customHeight="1">
      <c r="B424" s="120" t="s">
        <v>206</v>
      </c>
      <c r="C424" s="121" t="s">
        <v>104</v>
      </c>
      <c r="D424" s="121" t="s">
        <v>71</v>
      </c>
      <c r="E424" s="121" t="s">
        <v>92</v>
      </c>
      <c r="F424" s="129" t="s">
        <v>324</v>
      </c>
      <c r="G424" s="129" t="s">
        <v>7</v>
      </c>
      <c r="H424" s="129" t="s">
        <v>123</v>
      </c>
      <c r="I424" s="129" t="s">
        <v>241</v>
      </c>
      <c r="J424" s="121" t="s">
        <v>22</v>
      </c>
      <c r="K424" s="160">
        <f t="shared" si="71"/>
        <v>20</v>
      </c>
      <c r="L424" s="160">
        <f t="shared" si="71"/>
        <v>20.5</v>
      </c>
      <c r="M424" s="136">
        <f t="shared" si="71"/>
        <v>21</v>
      </c>
      <c r="N424" s="124"/>
      <c r="O424" s="125"/>
    </row>
    <row r="425" spans="2:15" s="123" customFormat="1" ht="47.25">
      <c r="B425" s="120" t="s">
        <v>23</v>
      </c>
      <c r="C425" s="121" t="s">
        <v>104</v>
      </c>
      <c r="D425" s="121" t="s">
        <v>71</v>
      </c>
      <c r="E425" s="121" t="s">
        <v>92</v>
      </c>
      <c r="F425" s="129" t="s">
        <v>324</v>
      </c>
      <c r="G425" s="129" t="s">
        <v>7</v>
      </c>
      <c r="H425" s="129" t="s">
        <v>123</v>
      </c>
      <c r="I425" s="129" t="s">
        <v>241</v>
      </c>
      <c r="J425" s="121" t="s">
        <v>24</v>
      </c>
      <c r="K425" s="160">
        <f>20</f>
        <v>20</v>
      </c>
      <c r="L425" s="160">
        <f>20*102.5%</f>
        <v>20.5</v>
      </c>
      <c r="M425" s="136">
        <f>20*105%</f>
        <v>21</v>
      </c>
      <c r="N425" s="124"/>
      <c r="O425" s="125"/>
    </row>
    <row r="426" spans="2:15" s="123" customFormat="1" ht="126">
      <c r="B426" s="162" t="s">
        <v>355</v>
      </c>
      <c r="C426" s="121" t="s">
        <v>104</v>
      </c>
      <c r="D426" s="121" t="s">
        <v>71</v>
      </c>
      <c r="E426" s="121" t="s">
        <v>92</v>
      </c>
      <c r="F426" s="129" t="s">
        <v>324</v>
      </c>
      <c r="G426" s="129" t="s">
        <v>7</v>
      </c>
      <c r="H426" s="129" t="s">
        <v>92</v>
      </c>
      <c r="I426" s="129" t="s">
        <v>202</v>
      </c>
      <c r="J426" s="121"/>
      <c r="K426" s="160">
        <f t="shared" ref="K426:M428" si="72">K427</f>
        <v>20</v>
      </c>
      <c r="L426" s="160">
        <f t="shared" si="72"/>
        <v>20.5</v>
      </c>
      <c r="M426" s="136">
        <f t="shared" si="72"/>
        <v>21</v>
      </c>
      <c r="N426" s="124"/>
      <c r="O426" s="125"/>
    </row>
    <row r="427" spans="2:15" s="123" customFormat="1">
      <c r="B427" s="162" t="s">
        <v>240</v>
      </c>
      <c r="C427" s="121" t="s">
        <v>104</v>
      </c>
      <c r="D427" s="121" t="s">
        <v>71</v>
      </c>
      <c r="E427" s="121" t="s">
        <v>92</v>
      </c>
      <c r="F427" s="129" t="s">
        <v>324</v>
      </c>
      <c r="G427" s="129" t="s">
        <v>7</v>
      </c>
      <c r="H427" s="129" t="s">
        <v>92</v>
      </c>
      <c r="I427" s="129" t="s">
        <v>241</v>
      </c>
      <c r="J427" s="121"/>
      <c r="K427" s="160">
        <f t="shared" si="72"/>
        <v>20</v>
      </c>
      <c r="L427" s="160">
        <f t="shared" si="72"/>
        <v>20.5</v>
      </c>
      <c r="M427" s="136">
        <f t="shared" si="72"/>
        <v>21</v>
      </c>
      <c r="N427" s="124"/>
      <c r="O427" s="125"/>
    </row>
    <row r="428" spans="2:15" s="123" customFormat="1" ht="47.25">
      <c r="B428" s="120" t="s">
        <v>206</v>
      </c>
      <c r="C428" s="121" t="s">
        <v>104</v>
      </c>
      <c r="D428" s="121" t="s">
        <v>71</v>
      </c>
      <c r="E428" s="121" t="s">
        <v>92</v>
      </c>
      <c r="F428" s="129" t="s">
        <v>324</v>
      </c>
      <c r="G428" s="129" t="s">
        <v>7</v>
      </c>
      <c r="H428" s="129" t="s">
        <v>92</v>
      </c>
      <c r="I428" s="129" t="s">
        <v>241</v>
      </c>
      <c r="J428" s="121" t="s">
        <v>22</v>
      </c>
      <c r="K428" s="160">
        <f t="shared" si="72"/>
        <v>20</v>
      </c>
      <c r="L428" s="160">
        <f t="shared" si="72"/>
        <v>20.5</v>
      </c>
      <c r="M428" s="136">
        <f t="shared" si="72"/>
        <v>21</v>
      </c>
      <c r="N428" s="124"/>
      <c r="O428" s="125"/>
    </row>
    <row r="429" spans="2:15" s="123" customFormat="1" ht="47.25">
      <c r="B429" s="120" t="s">
        <v>23</v>
      </c>
      <c r="C429" s="121" t="s">
        <v>104</v>
      </c>
      <c r="D429" s="121" t="s">
        <v>71</v>
      </c>
      <c r="E429" s="121" t="s">
        <v>92</v>
      </c>
      <c r="F429" s="129" t="s">
        <v>324</v>
      </c>
      <c r="G429" s="129" t="s">
        <v>7</v>
      </c>
      <c r="H429" s="129" t="s">
        <v>92</v>
      </c>
      <c r="I429" s="129" t="s">
        <v>241</v>
      </c>
      <c r="J429" s="121" t="s">
        <v>24</v>
      </c>
      <c r="K429" s="160">
        <f>20</f>
        <v>20</v>
      </c>
      <c r="L429" s="160">
        <f>20*102.5%</f>
        <v>20.5</v>
      </c>
      <c r="M429" s="136">
        <f>20*105%</f>
        <v>21</v>
      </c>
      <c r="N429" s="124"/>
      <c r="O429" s="125"/>
    </row>
    <row r="430" spans="2:15" s="123" customFormat="1" ht="47.25">
      <c r="B430" s="162" t="s">
        <v>356</v>
      </c>
      <c r="C430" s="121" t="s">
        <v>104</v>
      </c>
      <c r="D430" s="121" t="s">
        <v>71</v>
      </c>
      <c r="E430" s="121" t="s">
        <v>92</v>
      </c>
      <c r="F430" s="129" t="s">
        <v>324</v>
      </c>
      <c r="G430" s="129" t="s">
        <v>8</v>
      </c>
      <c r="H430" s="129" t="s">
        <v>201</v>
      </c>
      <c r="I430" s="129" t="s">
        <v>202</v>
      </c>
      <c r="J430" s="121"/>
      <c r="K430" s="160">
        <f>K431+K435</f>
        <v>95</v>
      </c>
      <c r="L430" s="160">
        <f>L431+L435</f>
        <v>97.375</v>
      </c>
      <c r="M430" s="136">
        <f>M431+M435</f>
        <v>99.75</v>
      </c>
      <c r="N430" s="124"/>
      <c r="O430" s="125"/>
    </row>
    <row r="431" spans="2:15" s="123" customFormat="1" ht="47.25">
      <c r="B431" s="162" t="s">
        <v>357</v>
      </c>
      <c r="C431" s="121" t="s">
        <v>104</v>
      </c>
      <c r="D431" s="121" t="s">
        <v>71</v>
      </c>
      <c r="E431" s="121" t="s">
        <v>92</v>
      </c>
      <c r="F431" s="129" t="s">
        <v>324</v>
      </c>
      <c r="G431" s="129" t="s">
        <v>8</v>
      </c>
      <c r="H431" s="129" t="s">
        <v>13</v>
      </c>
      <c r="I431" s="129" t="s">
        <v>202</v>
      </c>
      <c r="J431" s="121"/>
      <c r="K431" s="160">
        <f t="shared" ref="K431:M433" si="73">K432</f>
        <v>80</v>
      </c>
      <c r="L431" s="160">
        <f t="shared" si="73"/>
        <v>82</v>
      </c>
      <c r="M431" s="136">
        <f t="shared" si="73"/>
        <v>84</v>
      </c>
      <c r="N431" s="124"/>
      <c r="O431" s="125"/>
    </row>
    <row r="432" spans="2:15" s="123" customFormat="1">
      <c r="B432" s="162" t="s">
        <v>240</v>
      </c>
      <c r="C432" s="121" t="s">
        <v>104</v>
      </c>
      <c r="D432" s="121" t="s">
        <v>71</v>
      </c>
      <c r="E432" s="121" t="s">
        <v>92</v>
      </c>
      <c r="F432" s="129" t="s">
        <v>324</v>
      </c>
      <c r="G432" s="129" t="s">
        <v>8</v>
      </c>
      <c r="H432" s="129" t="s">
        <v>13</v>
      </c>
      <c r="I432" s="129" t="s">
        <v>241</v>
      </c>
      <c r="J432" s="121"/>
      <c r="K432" s="160">
        <f t="shared" si="73"/>
        <v>80</v>
      </c>
      <c r="L432" s="160">
        <f t="shared" si="73"/>
        <v>82</v>
      </c>
      <c r="M432" s="136">
        <f t="shared" si="73"/>
        <v>84</v>
      </c>
      <c r="N432" s="124"/>
      <c r="O432" s="125"/>
    </row>
    <row r="433" spans="2:15" s="123" customFormat="1" ht="47.25">
      <c r="B433" s="120" t="s">
        <v>206</v>
      </c>
      <c r="C433" s="121" t="s">
        <v>104</v>
      </c>
      <c r="D433" s="121" t="s">
        <v>71</v>
      </c>
      <c r="E433" s="121" t="s">
        <v>92</v>
      </c>
      <c r="F433" s="129" t="s">
        <v>324</v>
      </c>
      <c r="G433" s="129" t="s">
        <v>8</v>
      </c>
      <c r="H433" s="129" t="s">
        <v>13</v>
      </c>
      <c r="I433" s="129" t="s">
        <v>241</v>
      </c>
      <c r="J433" s="121" t="s">
        <v>22</v>
      </c>
      <c r="K433" s="160">
        <f t="shared" si="73"/>
        <v>80</v>
      </c>
      <c r="L433" s="160">
        <f t="shared" si="73"/>
        <v>82</v>
      </c>
      <c r="M433" s="136">
        <f t="shared" si="73"/>
        <v>84</v>
      </c>
      <c r="N433" s="124"/>
      <c r="O433" s="125"/>
    </row>
    <row r="434" spans="2:15" s="123" customFormat="1" ht="47.25">
      <c r="B434" s="120" t="s">
        <v>23</v>
      </c>
      <c r="C434" s="121" t="s">
        <v>104</v>
      </c>
      <c r="D434" s="121" t="s">
        <v>71</v>
      </c>
      <c r="E434" s="121" t="s">
        <v>92</v>
      </c>
      <c r="F434" s="129" t="s">
        <v>324</v>
      </c>
      <c r="G434" s="129" t="s">
        <v>8</v>
      </c>
      <c r="H434" s="129" t="s">
        <v>13</v>
      </c>
      <c r="I434" s="129" t="s">
        <v>241</v>
      </c>
      <c r="J434" s="121" t="s">
        <v>24</v>
      </c>
      <c r="K434" s="160">
        <f>60+20</f>
        <v>80</v>
      </c>
      <c r="L434" s="160">
        <f>80*102.5%</f>
        <v>82</v>
      </c>
      <c r="M434" s="136">
        <f>80*105%</f>
        <v>84</v>
      </c>
      <c r="N434" s="124"/>
      <c r="O434" s="125"/>
    </row>
    <row r="435" spans="2:15" s="123" customFormat="1" ht="63">
      <c r="B435" s="162" t="s">
        <v>358</v>
      </c>
      <c r="C435" s="121" t="s">
        <v>104</v>
      </c>
      <c r="D435" s="121" t="s">
        <v>71</v>
      </c>
      <c r="E435" s="121" t="s">
        <v>92</v>
      </c>
      <c r="F435" s="129" t="s">
        <v>324</v>
      </c>
      <c r="G435" s="129" t="s">
        <v>8</v>
      </c>
      <c r="H435" s="129" t="s">
        <v>71</v>
      </c>
      <c r="I435" s="129" t="s">
        <v>202</v>
      </c>
      <c r="J435" s="121"/>
      <c r="K435" s="160">
        <f t="shared" ref="K435:M437" si="74">K436</f>
        <v>15</v>
      </c>
      <c r="L435" s="160">
        <f t="shared" si="74"/>
        <v>15.374999999999998</v>
      </c>
      <c r="M435" s="136">
        <f t="shared" si="74"/>
        <v>15.75</v>
      </c>
      <c r="N435" s="124"/>
      <c r="O435" s="125"/>
    </row>
    <row r="436" spans="2:15" s="123" customFormat="1">
      <c r="B436" s="162" t="s">
        <v>240</v>
      </c>
      <c r="C436" s="121" t="s">
        <v>104</v>
      </c>
      <c r="D436" s="121" t="s">
        <v>71</v>
      </c>
      <c r="E436" s="121" t="s">
        <v>92</v>
      </c>
      <c r="F436" s="129" t="s">
        <v>324</v>
      </c>
      <c r="G436" s="129" t="s">
        <v>8</v>
      </c>
      <c r="H436" s="129" t="s">
        <v>71</v>
      </c>
      <c r="I436" s="129" t="s">
        <v>241</v>
      </c>
      <c r="J436" s="121"/>
      <c r="K436" s="160">
        <f t="shared" si="74"/>
        <v>15</v>
      </c>
      <c r="L436" s="160">
        <f t="shared" si="74"/>
        <v>15.374999999999998</v>
      </c>
      <c r="M436" s="136">
        <f t="shared" si="74"/>
        <v>15.75</v>
      </c>
      <c r="N436" s="124"/>
      <c r="O436" s="125"/>
    </row>
    <row r="437" spans="2:15" s="123" customFormat="1" ht="47.25">
      <c r="B437" s="120" t="s">
        <v>206</v>
      </c>
      <c r="C437" s="121" t="s">
        <v>104</v>
      </c>
      <c r="D437" s="121" t="s">
        <v>71</v>
      </c>
      <c r="E437" s="121" t="s">
        <v>92</v>
      </c>
      <c r="F437" s="129" t="s">
        <v>324</v>
      </c>
      <c r="G437" s="129" t="s">
        <v>8</v>
      </c>
      <c r="H437" s="129" t="s">
        <v>71</v>
      </c>
      <c r="I437" s="129" t="s">
        <v>241</v>
      </c>
      <c r="J437" s="121" t="s">
        <v>22</v>
      </c>
      <c r="K437" s="160">
        <f t="shared" si="74"/>
        <v>15</v>
      </c>
      <c r="L437" s="160">
        <f t="shared" si="74"/>
        <v>15.374999999999998</v>
      </c>
      <c r="M437" s="136">
        <f t="shared" si="74"/>
        <v>15.75</v>
      </c>
      <c r="N437" s="124"/>
      <c r="O437" s="125"/>
    </row>
    <row r="438" spans="2:15" s="123" customFormat="1" ht="47.25">
      <c r="B438" s="120" t="s">
        <v>23</v>
      </c>
      <c r="C438" s="121" t="s">
        <v>104</v>
      </c>
      <c r="D438" s="121" t="s">
        <v>71</v>
      </c>
      <c r="E438" s="121" t="s">
        <v>92</v>
      </c>
      <c r="F438" s="129" t="s">
        <v>324</v>
      </c>
      <c r="G438" s="129" t="s">
        <v>8</v>
      </c>
      <c r="H438" s="129" t="s">
        <v>71</v>
      </c>
      <c r="I438" s="129" t="s">
        <v>241</v>
      </c>
      <c r="J438" s="121" t="s">
        <v>24</v>
      </c>
      <c r="K438" s="160">
        <f>15</f>
        <v>15</v>
      </c>
      <c r="L438" s="160">
        <f>15*102.5%</f>
        <v>15.374999999999998</v>
      </c>
      <c r="M438" s="136">
        <f>15*105%</f>
        <v>15.75</v>
      </c>
      <c r="N438" s="124"/>
      <c r="O438" s="125"/>
    </row>
    <row r="439" spans="2:15" s="123" customFormat="1" ht="31.5">
      <c r="B439" s="164" t="s">
        <v>359</v>
      </c>
      <c r="C439" s="121" t="s">
        <v>104</v>
      </c>
      <c r="D439" s="121" t="s">
        <v>71</v>
      </c>
      <c r="E439" s="121" t="s">
        <v>92</v>
      </c>
      <c r="F439" s="129" t="s">
        <v>324</v>
      </c>
      <c r="G439" s="129" t="s">
        <v>9</v>
      </c>
      <c r="H439" s="129" t="s">
        <v>201</v>
      </c>
      <c r="I439" s="129" t="s">
        <v>202</v>
      </c>
      <c r="J439" s="121"/>
      <c r="K439" s="160">
        <f t="shared" ref="K439:M442" si="75">K440</f>
        <v>7.5</v>
      </c>
      <c r="L439" s="160">
        <f t="shared" si="75"/>
        <v>7.6874999999999991</v>
      </c>
      <c r="M439" s="136">
        <f t="shared" si="75"/>
        <v>7.875</v>
      </c>
      <c r="N439" s="124"/>
      <c r="O439" s="125"/>
    </row>
    <row r="440" spans="2:15" s="123" customFormat="1" ht="63">
      <c r="B440" s="162" t="s">
        <v>360</v>
      </c>
      <c r="C440" s="121" t="s">
        <v>104</v>
      </c>
      <c r="D440" s="121" t="s">
        <v>71</v>
      </c>
      <c r="E440" s="121" t="s">
        <v>92</v>
      </c>
      <c r="F440" s="129" t="s">
        <v>324</v>
      </c>
      <c r="G440" s="129" t="s">
        <v>9</v>
      </c>
      <c r="H440" s="129" t="s">
        <v>62</v>
      </c>
      <c r="I440" s="129" t="s">
        <v>202</v>
      </c>
      <c r="J440" s="121"/>
      <c r="K440" s="160">
        <f t="shared" si="75"/>
        <v>7.5</v>
      </c>
      <c r="L440" s="160">
        <f t="shared" si="75"/>
        <v>7.6874999999999991</v>
      </c>
      <c r="M440" s="136">
        <f t="shared" si="75"/>
        <v>7.875</v>
      </c>
      <c r="N440" s="124"/>
      <c r="O440" s="125"/>
    </row>
    <row r="441" spans="2:15" s="123" customFormat="1">
      <c r="B441" s="162" t="s">
        <v>240</v>
      </c>
      <c r="C441" s="121" t="s">
        <v>104</v>
      </c>
      <c r="D441" s="121" t="s">
        <v>71</v>
      </c>
      <c r="E441" s="121" t="s">
        <v>92</v>
      </c>
      <c r="F441" s="129" t="s">
        <v>324</v>
      </c>
      <c r="G441" s="129" t="s">
        <v>9</v>
      </c>
      <c r="H441" s="129" t="s">
        <v>62</v>
      </c>
      <c r="I441" s="129" t="s">
        <v>241</v>
      </c>
      <c r="J441" s="121"/>
      <c r="K441" s="160">
        <f t="shared" si="75"/>
        <v>7.5</v>
      </c>
      <c r="L441" s="160">
        <f t="shared" si="75"/>
        <v>7.6874999999999991</v>
      </c>
      <c r="M441" s="136">
        <f t="shared" si="75"/>
        <v>7.875</v>
      </c>
      <c r="N441" s="124"/>
      <c r="O441" s="125"/>
    </row>
    <row r="442" spans="2:15" s="123" customFormat="1" ht="47.25">
      <c r="B442" s="120" t="s">
        <v>206</v>
      </c>
      <c r="C442" s="121" t="s">
        <v>104</v>
      </c>
      <c r="D442" s="121" t="s">
        <v>71</v>
      </c>
      <c r="E442" s="121" t="s">
        <v>92</v>
      </c>
      <c r="F442" s="129" t="s">
        <v>324</v>
      </c>
      <c r="G442" s="129" t="s">
        <v>9</v>
      </c>
      <c r="H442" s="129" t="s">
        <v>62</v>
      </c>
      <c r="I442" s="129" t="s">
        <v>241</v>
      </c>
      <c r="J442" s="121" t="s">
        <v>22</v>
      </c>
      <c r="K442" s="160">
        <f t="shared" si="75"/>
        <v>7.5</v>
      </c>
      <c r="L442" s="160">
        <f t="shared" si="75"/>
        <v>7.6874999999999991</v>
      </c>
      <c r="M442" s="136">
        <f t="shared" si="75"/>
        <v>7.875</v>
      </c>
      <c r="N442" s="124"/>
      <c r="O442" s="125"/>
    </row>
    <row r="443" spans="2:15" s="123" customFormat="1" ht="47.25">
      <c r="B443" s="120" t="s">
        <v>23</v>
      </c>
      <c r="C443" s="121" t="s">
        <v>104</v>
      </c>
      <c r="D443" s="121" t="s">
        <v>71</v>
      </c>
      <c r="E443" s="121" t="s">
        <v>92</v>
      </c>
      <c r="F443" s="129" t="s">
        <v>324</v>
      </c>
      <c r="G443" s="129" t="s">
        <v>9</v>
      </c>
      <c r="H443" s="129" t="s">
        <v>62</v>
      </c>
      <c r="I443" s="129" t="s">
        <v>241</v>
      </c>
      <c r="J443" s="121" t="s">
        <v>24</v>
      </c>
      <c r="K443" s="160">
        <f>7.5</f>
        <v>7.5</v>
      </c>
      <c r="L443" s="160">
        <f>7.5*102.5%</f>
        <v>7.6874999999999991</v>
      </c>
      <c r="M443" s="136">
        <f>7.5*105%</f>
        <v>7.875</v>
      </c>
      <c r="N443" s="124"/>
      <c r="O443" s="125"/>
    </row>
    <row r="444" spans="2:15" s="123" customFormat="1" ht="31.5">
      <c r="B444" s="162" t="s">
        <v>198</v>
      </c>
      <c r="C444" s="121" t="s">
        <v>104</v>
      </c>
      <c r="D444" s="121" t="s">
        <v>71</v>
      </c>
      <c r="E444" s="121" t="s">
        <v>92</v>
      </c>
      <c r="F444" s="127" t="s">
        <v>199</v>
      </c>
      <c r="G444" s="127" t="s">
        <v>200</v>
      </c>
      <c r="H444" s="127" t="s">
        <v>201</v>
      </c>
      <c r="I444" s="127" t="s">
        <v>202</v>
      </c>
      <c r="J444" s="121"/>
      <c r="K444" s="160">
        <f t="shared" ref="K444:M445" si="76">K445</f>
        <v>2200.6</v>
      </c>
      <c r="L444" s="160">
        <f t="shared" si="76"/>
        <v>2255.6149999999998</v>
      </c>
      <c r="M444" s="136">
        <f t="shared" si="76"/>
        <v>2310.63</v>
      </c>
      <c r="N444" s="124"/>
      <c r="O444" s="125"/>
    </row>
    <row r="445" spans="2:15" s="123" customFormat="1" ht="47.25">
      <c r="B445" s="162" t="s">
        <v>230</v>
      </c>
      <c r="C445" s="121" t="s">
        <v>104</v>
      </c>
      <c r="D445" s="121" t="s">
        <v>71</v>
      </c>
      <c r="E445" s="121" t="s">
        <v>92</v>
      </c>
      <c r="F445" s="127" t="s">
        <v>199</v>
      </c>
      <c r="G445" s="127" t="s">
        <v>6</v>
      </c>
      <c r="H445" s="127" t="s">
        <v>201</v>
      </c>
      <c r="I445" s="127" t="s">
        <v>202</v>
      </c>
      <c r="J445" s="121"/>
      <c r="K445" s="160">
        <f t="shared" si="76"/>
        <v>2200.6</v>
      </c>
      <c r="L445" s="160">
        <f t="shared" si="76"/>
        <v>2255.6149999999998</v>
      </c>
      <c r="M445" s="136">
        <f t="shared" si="76"/>
        <v>2310.63</v>
      </c>
      <c r="N445" s="124"/>
      <c r="O445" s="125"/>
    </row>
    <row r="446" spans="2:15" s="123" customFormat="1" ht="31.5">
      <c r="B446" s="126" t="s">
        <v>16</v>
      </c>
      <c r="C446" s="121" t="s">
        <v>104</v>
      </c>
      <c r="D446" s="121" t="s">
        <v>71</v>
      </c>
      <c r="E446" s="121" t="s">
        <v>92</v>
      </c>
      <c r="F446" s="127" t="s">
        <v>199</v>
      </c>
      <c r="G446" s="127" t="s">
        <v>6</v>
      </c>
      <c r="H446" s="127" t="s">
        <v>201</v>
      </c>
      <c r="I446" s="127" t="s">
        <v>205</v>
      </c>
      <c r="J446" s="121"/>
      <c r="K446" s="160">
        <f>K447+K449</f>
        <v>2200.6</v>
      </c>
      <c r="L446" s="160">
        <f>L447+L449</f>
        <v>2255.6149999999998</v>
      </c>
      <c r="M446" s="136">
        <f>M447+M449</f>
        <v>2310.63</v>
      </c>
      <c r="N446" s="124"/>
      <c r="O446" s="125"/>
    </row>
    <row r="447" spans="2:15" s="123" customFormat="1" ht="94.5">
      <c r="B447" s="120" t="s">
        <v>17</v>
      </c>
      <c r="C447" s="121" t="s">
        <v>104</v>
      </c>
      <c r="D447" s="121" t="s">
        <v>71</v>
      </c>
      <c r="E447" s="121" t="s">
        <v>92</v>
      </c>
      <c r="F447" s="127" t="s">
        <v>199</v>
      </c>
      <c r="G447" s="127" t="s">
        <v>6</v>
      </c>
      <c r="H447" s="127" t="s">
        <v>201</v>
      </c>
      <c r="I447" s="127" t="s">
        <v>205</v>
      </c>
      <c r="J447" s="121" t="s">
        <v>18</v>
      </c>
      <c r="K447" s="160">
        <f>K448</f>
        <v>2200.6</v>
      </c>
      <c r="L447" s="160">
        <f>L448</f>
        <v>2255.6149999999998</v>
      </c>
      <c r="M447" s="136">
        <f>M448</f>
        <v>2310.63</v>
      </c>
      <c r="N447" s="124"/>
      <c r="O447" s="125"/>
    </row>
    <row r="448" spans="2:15" s="123" customFormat="1" ht="31.5">
      <c r="B448" s="120" t="s">
        <v>19</v>
      </c>
      <c r="C448" s="121" t="s">
        <v>104</v>
      </c>
      <c r="D448" s="121" t="s">
        <v>71</v>
      </c>
      <c r="E448" s="121" t="s">
        <v>92</v>
      </c>
      <c r="F448" s="127" t="s">
        <v>199</v>
      </c>
      <c r="G448" s="127" t="s">
        <v>6</v>
      </c>
      <c r="H448" s="127" t="s">
        <v>201</v>
      </c>
      <c r="I448" s="127" t="s">
        <v>205</v>
      </c>
      <c r="J448" s="121" t="s">
        <v>20</v>
      </c>
      <c r="K448" s="160">
        <v>2200.6</v>
      </c>
      <c r="L448" s="160">
        <f>2200.6*102.5%</f>
        <v>2255.6149999999998</v>
      </c>
      <c r="M448" s="136">
        <f>2200.6*105%</f>
        <v>2310.63</v>
      </c>
      <c r="N448" s="124"/>
      <c r="O448" s="125"/>
    </row>
    <row r="449" spans="2:15" s="123" customFormat="1" ht="47.25" hidden="1">
      <c r="B449" s="120" t="s">
        <v>206</v>
      </c>
      <c r="C449" s="121" t="s">
        <v>104</v>
      </c>
      <c r="D449" s="121" t="s">
        <v>71</v>
      </c>
      <c r="E449" s="121" t="s">
        <v>92</v>
      </c>
      <c r="F449" s="127" t="s">
        <v>199</v>
      </c>
      <c r="G449" s="127" t="s">
        <v>6</v>
      </c>
      <c r="H449" s="127" t="s">
        <v>201</v>
      </c>
      <c r="I449" s="127" t="s">
        <v>205</v>
      </c>
      <c r="J449" s="121" t="s">
        <v>22</v>
      </c>
      <c r="K449" s="160">
        <f>K450</f>
        <v>0</v>
      </c>
      <c r="L449" s="160">
        <f>L450</f>
        <v>0</v>
      </c>
      <c r="M449" s="136">
        <f>M450</f>
        <v>0</v>
      </c>
      <c r="N449" s="124"/>
      <c r="O449" s="125"/>
    </row>
    <row r="450" spans="2:15" s="123" customFormat="1" ht="47.25" hidden="1">
      <c r="B450" s="120" t="s">
        <v>23</v>
      </c>
      <c r="C450" s="121" t="s">
        <v>104</v>
      </c>
      <c r="D450" s="121" t="s">
        <v>71</v>
      </c>
      <c r="E450" s="121" t="s">
        <v>92</v>
      </c>
      <c r="F450" s="127" t="s">
        <v>199</v>
      </c>
      <c r="G450" s="127" t="s">
        <v>6</v>
      </c>
      <c r="H450" s="127" t="s">
        <v>201</v>
      </c>
      <c r="I450" s="127" t="s">
        <v>205</v>
      </c>
      <c r="J450" s="121" t="s">
        <v>24</v>
      </c>
      <c r="K450" s="160">
        <v>0</v>
      </c>
      <c r="L450" s="160">
        <v>0</v>
      </c>
      <c r="M450" s="136">
        <v>0</v>
      </c>
      <c r="N450" s="124"/>
      <c r="O450" s="125"/>
    </row>
    <row r="451" spans="2:15" s="123" customFormat="1" ht="47.25">
      <c r="B451" s="162" t="s">
        <v>292</v>
      </c>
      <c r="C451" s="121" t="s">
        <v>104</v>
      </c>
      <c r="D451" s="121" t="s">
        <v>71</v>
      </c>
      <c r="E451" s="121" t="s">
        <v>92</v>
      </c>
      <c r="F451" s="127" t="s">
        <v>293</v>
      </c>
      <c r="G451" s="127" t="s">
        <v>200</v>
      </c>
      <c r="H451" s="127" t="s">
        <v>201</v>
      </c>
      <c r="I451" s="127" t="s">
        <v>202</v>
      </c>
      <c r="J451" s="121"/>
      <c r="K451" s="160">
        <f>K452+K457</f>
        <v>17647.699999999997</v>
      </c>
      <c r="L451" s="160">
        <f>L452+L457</f>
        <v>18102.367499999997</v>
      </c>
      <c r="M451" s="136">
        <f>M452+M457</f>
        <v>18525.135000000002</v>
      </c>
      <c r="N451" s="124"/>
      <c r="O451" s="125"/>
    </row>
    <row r="452" spans="2:15" s="123" customFormat="1">
      <c r="B452" s="162" t="s">
        <v>361</v>
      </c>
      <c r="C452" s="121" t="s">
        <v>104</v>
      </c>
      <c r="D452" s="121" t="s">
        <v>71</v>
      </c>
      <c r="E452" s="121" t="s">
        <v>92</v>
      </c>
      <c r="F452" s="127" t="s">
        <v>293</v>
      </c>
      <c r="G452" s="127" t="s">
        <v>362</v>
      </c>
      <c r="H452" s="127" t="s">
        <v>201</v>
      </c>
      <c r="I452" s="127" t="s">
        <v>202</v>
      </c>
      <c r="J452" s="121"/>
      <c r="K452" s="160">
        <f t="shared" ref="K452:M455" si="77">K453</f>
        <v>1880.6</v>
      </c>
      <c r="L452" s="160">
        <f t="shared" si="77"/>
        <v>1927.6149999999998</v>
      </c>
      <c r="M452" s="136">
        <f t="shared" si="77"/>
        <v>1974.6299999999999</v>
      </c>
      <c r="N452" s="124"/>
      <c r="O452" s="125"/>
    </row>
    <row r="453" spans="2:15" s="123" customFormat="1" ht="47.25">
      <c r="B453" s="162" t="s">
        <v>300</v>
      </c>
      <c r="C453" s="121" t="s">
        <v>104</v>
      </c>
      <c r="D453" s="121" t="s">
        <v>71</v>
      </c>
      <c r="E453" s="121" t="s">
        <v>92</v>
      </c>
      <c r="F453" s="127" t="s">
        <v>293</v>
      </c>
      <c r="G453" s="127" t="s">
        <v>362</v>
      </c>
      <c r="H453" s="127" t="s">
        <v>201</v>
      </c>
      <c r="I453" s="127" t="s">
        <v>301</v>
      </c>
      <c r="J453" s="121"/>
      <c r="K453" s="160">
        <f t="shared" si="77"/>
        <v>1880.6</v>
      </c>
      <c r="L453" s="160">
        <f t="shared" si="77"/>
        <v>1927.6149999999998</v>
      </c>
      <c r="M453" s="136">
        <f t="shared" si="77"/>
        <v>1974.6299999999999</v>
      </c>
      <c r="N453" s="124"/>
      <c r="O453" s="125"/>
    </row>
    <row r="454" spans="2:15" s="123" customFormat="1" ht="47.25">
      <c r="B454" s="162" t="s">
        <v>302</v>
      </c>
      <c r="C454" s="121" t="s">
        <v>104</v>
      </c>
      <c r="D454" s="121" t="s">
        <v>71</v>
      </c>
      <c r="E454" s="121" t="s">
        <v>92</v>
      </c>
      <c r="F454" s="127" t="s">
        <v>293</v>
      </c>
      <c r="G454" s="127" t="s">
        <v>362</v>
      </c>
      <c r="H454" s="127" t="s">
        <v>201</v>
      </c>
      <c r="I454" s="127" t="s">
        <v>303</v>
      </c>
      <c r="J454" s="121"/>
      <c r="K454" s="160">
        <f t="shared" si="77"/>
        <v>1880.6</v>
      </c>
      <c r="L454" s="160">
        <f t="shared" si="77"/>
        <v>1927.6149999999998</v>
      </c>
      <c r="M454" s="136">
        <f t="shared" si="77"/>
        <v>1974.6299999999999</v>
      </c>
      <c r="N454" s="124"/>
      <c r="O454" s="125"/>
    </row>
    <row r="455" spans="2:15" s="123" customFormat="1" ht="47.25">
      <c r="B455" s="120" t="s">
        <v>85</v>
      </c>
      <c r="C455" s="121" t="s">
        <v>104</v>
      </c>
      <c r="D455" s="121" t="s">
        <v>71</v>
      </c>
      <c r="E455" s="121" t="s">
        <v>92</v>
      </c>
      <c r="F455" s="127" t="s">
        <v>293</v>
      </c>
      <c r="G455" s="127" t="s">
        <v>362</v>
      </c>
      <c r="H455" s="127" t="s">
        <v>201</v>
      </c>
      <c r="I455" s="127" t="s">
        <v>303</v>
      </c>
      <c r="J455" s="121" t="s">
        <v>86</v>
      </c>
      <c r="K455" s="160">
        <f t="shared" si="77"/>
        <v>1880.6</v>
      </c>
      <c r="L455" s="160">
        <f t="shared" si="77"/>
        <v>1927.6149999999998</v>
      </c>
      <c r="M455" s="136">
        <f t="shared" si="77"/>
        <v>1974.6299999999999</v>
      </c>
      <c r="N455" s="124"/>
      <c r="O455" s="125"/>
    </row>
    <row r="456" spans="2:15" s="123" customFormat="1">
      <c r="B456" s="120" t="s">
        <v>107</v>
      </c>
      <c r="C456" s="121" t="s">
        <v>104</v>
      </c>
      <c r="D456" s="121" t="s">
        <v>71</v>
      </c>
      <c r="E456" s="121" t="s">
        <v>92</v>
      </c>
      <c r="F456" s="127" t="s">
        <v>293</v>
      </c>
      <c r="G456" s="127" t="s">
        <v>362</v>
      </c>
      <c r="H456" s="127" t="s">
        <v>201</v>
      </c>
      <c r="I456" s="127" t="s">
        <v>303</v>
      </c>
      <c r="J456" s="121" t="s">
        <v>108</v>
      </c>
      <c r="K456" s="160">
        <f>(1960.6-80)</f>
        <v>1880.6</v>
      </c>
      <c r="L456" s="160">
        <f>(1960.6-80)*102.5%</f>
        <v>1927.6149999999998</v>
      </c>
      <c r="M456" s="136">
        <f>(1960.6-80)*105%</f>
        <v>1974.6299999999999</v>
      </c>
      <c r="N456" s="124"/>
      <c r="O456" s="125"/>
    </row>
    <row r="457" spans="2:15" s="123" customFormat="1" ht="63">
      <c r="B457" s="162" t="s">
        <v>294</v>
      </c>
      <c r="C457" s="121" t="s">
        <v>104</v>
      </c>
      <c r="D457" s="121" t="s">
        <v>71</v>
      </c>
      <c r="E457" s="121" t="s">
        <v>92</v>
      </c>
      <c r="F457" s="127" t="s">
        <v>293</v>
      </c>
      <c r="G457" s="127" t="s">
        <v>212</v>
      </c>
      <c r="H457" s="127" t="s">
        <v>201</v>
      </c>
      <c r="I457" s="127" t="s">
        <v>202</v>
      </c>
      <c r="J457" s="121"/>
      <c r="K457" s="160">
        <f>K458+K463+K466+K471+K474</f>
        <v>15767.099999999999</v>
      </c>
      <c r="L457" s="160">
        <f>L458+L463+L466+L471+L474</f>
        <v>16174.752499999997</v>
      </c>
      <c r="M457" s="136">
        <f>M458+M463+M466+M471+M474</f>
        <v>16550.505000000001</v>
      </c>
      <c r="N457" s="124"/>
      <c r="O457" s="125"/>
    </row>
    <row r="458" spans="2:15" s="123" customFormat="1" ht="31.5">
      <c r="B458" s="162" t="s">
        <v>295</v>
      </c>
      <c r="C458" s="121" t="s">
        <v>104</v>
      </c>
      <c r="D458" s="121" t="s">
        <v>71</v>
      </c>
      <c r="E458" s="121" t="s">
        <v>92</v>
      </c>
      <c r="F458" s="127" t="s">
        <v>293</v>
      </c>
      <c r="G458" s="127" t="s">
        <v>212</v>
      </c>
      <c r="H458" s="127" t="s">
        <v>201</v>
      </c>
      <c r="I458" s="127" t="s">
        <v>296</v>
      </c>
      <c r="J458" s="121"/>
      <c r="K458" s="160">
        <f>K459+K461</f>
        <v>14975.699999999999</v>
      </c>
      <c r="L458" s="160">
        <f>L459+L461</f>
        <v>15350.092499999997</v>
      </c>
      <c r="M458" s="136">
        <f>M459+M461</f>
        <v>15724.485000000001</v>
      </c>
      <c r="N458" s="124"/>
      <c r="O458" s="125"/>
    </row>
    <row r="459" spans="2:15" s="123" customFormat="1" ht="94.5">
      <c r="B459" s="120" t="s">
        <v>17</v>
      </c>
      <c r="C459" s="121" t="s">
        <v>104</v>
      </c>
      <c r="D459" s="121" t="s">
        <v>71</v>
      </c>
      <c r="E459" s="121" t="s">
        <v>92</v>
      </c>
      <c r="F459" s="127" t="s">
        <v>293</v>
      </c>
      <c r="G459" s="127" t="s">
        <v>212</v>
      </c>
      <c r="H459" s="127" t="s">
        <v>201</v>
      </c>
      <c r="I459" s="127" t="s">
        <v>296</v>
      </c>
      <c r="J459" s="121" t="s">
        <v>18</v>
      </c>
      <c r="K459" s="160">
        <f>K460</f>
        <v>13289.3</v>
      </c>
      <c r="L459" s="160">
        <f>L460</f>
        <v>13621.532499999998</v>
      </c>
      <c r="M459" s="136">
        <f>M460</f>
        <v>13953.764999999999</v>
      </c>
      <c r="N459" s="124"/>
      <c r="O459" s="125"/>
    </row>
    <row r="460" spans="2:15" s="123" customFormat="1" ht="31.5">
      <c r="B460" s="128" t="s">
        <v>102</v>
      </c>
      <c r="C460" s="121" t="s">
        <v>104</v>
      </c>
      <c r="D460" s="121" t="s">
        <v>71</v>
      </c>
      <c r="E460" s="121" t="s">
        <v>92</v>
      </c>
      <c r="F460" s="127" t="s">
        <v>293</v>
      </c>
      <c r="G460" s="127" t="s">
        <v>212</v>
      </c>
      <c r="H460" s="127" t="s">
        <v>201</v>
      </c>
      <c r="I460" s="127" t="s">
        <v>296</v>
      </c>
      <c r="J460" s="121" t="s">
        <v>103</v>
      </c>
      <c r="K460" s="160">
        <f>(13917.3-628)</f>
        <v>13289.3</v>
      </c>
      <c r="L460" s="160">
        <f>(13917.3-628)*102.5%</f>
        <v>13621.532499999998</v>
      </c>
      <c r="M460" s="136">
        <f>(13917.3-628)*105%</f>
        <v>13953.764999999999</v>
      </c>
      <c r="N460" s="124"/>
      <c r="O460" s="125"/>
    </row>
    <row r="461" spans="2:15" s="123" customFormat="1" ht="47.25">
      <c r="B461" s="120" t="s">
        <v>206</v>
      </c>
      <c r="C461" s="121" t="s">
        <v>104</v>
      </c>
      <c r="D461" s="121" t="s">
        <v>71</v>
      </c>
      <c r="E461" s="121" t="s">
        <v>92</v>
      </c>
      <c r="F461" s="127" t="s">
        <v>293</v>
      </c>
      <c r="G461" s="127" t="s">
        <v>212</v>
      </c>
      <c r="H461" s="127" t="s">
        <v>201</v>
      </c>
      <c r="I461" s="127" t="s">
        <v>296</v>
      </c>
      <c r="J461" s="121" t="s">
        <v>22</v>
      </c>
      <c r="K461" s="160">
        <f>K462</f>
        <v>1686.4</v>
      </c>
      <c r="L461" s="160">
        <f>L462</f>
        <v>1728.56</v>
      </c>
      <c r="M461" s="136">
        <f>M462</f>
        <v>1770.7200000000003</v>
      </c>
      <c r="N461" s="124"/>
      <c r="O461" s="125"/>
    </row>
    <row r="462" spans="2:15" s="123" customFormat="1" ht="47.25">
      <c r="B462" s="120" t="s">
        <v>23</v>
      </c>
      <c r="C462" s="121" t="s">
        <v>104</v>
      </c>
      <c r="D462" s="121" t="s">
        <v>71</v>
      </c>
      <c r="E462" s="121" t="s">
        <v>92</v>
      </c>
      <c r="F462" s="127" t="s">
        <v>293</v>
      </c>
      <c r="G462" s="127" t="s">
        <v>212</v>
      </c>
      <c r="H462" s="127" t="s">
        <v>201</v>
      </c>
      <c r="I462" s="127" t="s">
        <v>296</v>
      </c>
      <c r="J462" s="121" t="s">
        <v>24</v>
      </c>
      <c r="K462" s="160">
        <f>1686.4</f>
        <v>1686.4</v>
      </c>
      <c r="L462" s="160">
        <f>1686.4*102.5%</f>
        <v>1728.56</v>
      </c>
      <c r="M462" s="136">
        <f>1686.4*105%</f>
        <v>1770.7200000000003</v>
      </c>
      <c r="N462" s="124"/>
      <c r="O462" s="125"/>
    </row>
    <row r="463" spans="2:15" s="123" customFormat="1" ht="47.25">
      <c r="B463" s="162" t="s">
        <v>297</v>
      </c>
      <c r="C463" s="121" t="s">
        <v>104</v>
      </c>
      <c r="D463" s="121" t="s">
        <v>71</v>
      </c>
      <c r="E463" s="121" t="s">
        <v>92</v>
      </c>
      <c r="F463" s="127" t="s">
        <v>293</v>
      </c>
      <c r="G463" s="127" t="s">
        <v>212</v>
      </c>
      <c r="H463" s="127" t="s">
        <v>201</v>
      </c>
      <c r="I463" s="127" t="s">
        <v>298</v>
      </c>
      <c r="J463" s="121"/>
      <c r="K463" s="160">
        <f t="shared" ref="K463:M464" si="78">K464</f>
        <v>54.4</v>
      </c>
      <c r="L463" s="160">
        <f t="shared" si="78"/>
        <v>55.759999999999991</v>
      </c>
      <c r="M463" s="136">
        <f t="shared" si="78"/>
        <v>57.12</v>
      </c>
      <c r="N463" s="124"/>
      <c r="O463" s="125"/>
    </row>
    <row r="464" spans="2:15" s="123" customFormat="1">
      <c r="B464" s="120" t="s">
        <v>25</v>
      </c>
      <c r="C464" s="121" t="s">
        <v>104</v>
      </c>
      <c r="D464" s="121" t="s">
        <v>71</v>
      </c>
      <c r="E464" s="121" t="s">
        <v>92</v>
      </c>
      <c r="F464" s="127" t="s">
        <v>293</v>
      </c>
      <c r="G464" s="127" t="s">
        <v>212</v>
      </c>
      <c r="H464" s="127" t="s">
        <v>201</v>
      </c>
      <c r="I464" s="127" t="s">
        <v>298</v>
      </c>
      <c r="J464" s="121" t="s">
        <v>26</v>
      </c>
      <c r="K464" s="160">
        <f t="shared" si="78"/>
        <v>54.4</v>
      </c>
      <c r="L464" s="160">
        <f t="shared" si="78"/>
        <v>55.759999999999991</v>
      </c>
      <c r="M464" s="136">
        <f t="shared" si="78"/>
        <v>57.12</v>
      </c>
      <c r="N464" s="124"/>
      <c r="O464" s="125"/>
    </row>
    <row r="465" spans="2:15" s="123" customFormat="1">
      <c r="B465" s="120" t="s">
        <v>27</v>
      </c>
      <c r="C465" s="121" t="s">
        <v>104</v>
      </c>
      <c r="D465" s="121" t="s">
        <v>71</v>
      </c>
      <c r="E465" s="121" t="s">
        <v>92</v>
      </c>
      <c r="F465" s="127" t="s">
        <v>293</v>
      </c>
      <c r="G465" s="127" t="s">
        <v>212</v>
      </c>
      <c r="H465" s="127" t="s">
        <v>201</v>
      </c>
      <c r="I465" s="127" t="s">
        <v>298</v>
      </c>
      <c r="J465" s="121" t="s">
        <v>28</v>
      </c>
      <c r="K465" s="160">
        <f>54.4</f>
        <v>54.4</v>
      </c>
      <c r="L465" s="160">
        <f>54.4*102.5%</f>
        <v>55.759999999999991</v>
      </c>
      <c r="M465" s="136">
        <f>54.4*105%</f>
        <v>57.12</v>
      </c>
      <c r="N465" s="124"/>
      <c r="O465" s="125"/>
    </row>
    <row r="466" spans="2:15" s="123" customFormat="1" ht="220.5">
      <c r="B466" s="162" t="s">
        <v>363</v>
      </c>
      <c r="C466" s="121" t="s">
        <v>104</v>
      </c>
      <c r="D466" s="121" t="s">
        <v>71</v>
      </c>
      <c r="E466" s="121" t="s">
        <v>92</v>
      </c>
      <c r="F466" s="127" t="s">
        <v>293</v>
      </c>
      <c r="G466" s="127" t="s">
        <v>212</v>
      </c>
      <c r="H466" s="127" t="s">
        <v>201</v>
      </c>
      <c r="I466" s="127" t="s">
        <v>364</v>
      </c>
      <c r="J466" s="121"/>
      <c r="K466" s="160">
        <f>K467+K469</f>
        <v>357.6</v>
      </c>
      <c r="L466" s="160">
        <f>L467+L469</f>
        <v>410.3</v>
      </c>
      <c r="M466" s="136">
        <f>M467+M469</f>
        <v>410.3</v>
      </c>
      <c r="N466" s="124"/>
      <c r="O466" s="125"/>
    </row>
    <row r="467" spans="2:15" s="123" customFormat="1" ht="94.5">
      <c r="B467" s="120" t="s">
        <v>17</v>
      </c>
      <c r="C467" s="121" t="s">
        <v>104</v>
      </c>
      <c r="D467" s="121" t="s">
        <v>71</v>
      </c>
      <c r="E467" s="121" t="s">
        <v>92</v>
      </c>
      <c r="F467" s="127" t="s">
        <v>293</v>
      </c>
      <c r="G467" s="127" t="s">
        <v>212</v>
      </c>
      <c r="H467" s="127" t="s">
        <v>201</v>
      </c>
      <c r="I467" s="127" t="s">
        <v>364</v>
      </c>
      <c r="J467" s="121" t="s">
        <v>18</v>
      </c>
      <c r="K467" s="160">
        <f>K468</f>
        <v>320.60000000000002</v>
      </c>
      <c r="L467" s="160">
        <f>L468</f>
        <v>320.60000000000002</v>
      </c>
      <c r="M467" s="136">
        <f>M468</f>
        <v>320.60000000000002</v>
      </c>
      <c r="N467" s="124"/>
      <c r="O467" s="125"/>
    </row>
    <row r="468" spans="2:15" s="123" customFormat="1" ht="31.5">
      <c r="B468" s="128" t="s">
        <v>102</v>
      </c>
      <c r="C468" s="121" t="s">
        <v>104</v>
      </c>
      <c r="D468" s="121" t="s">
        <v>71</v>
      </c>
      <c r="E468" s="121" t="s">
        <v>92</v>
      </c>
      <c r="F468" s="127" t="s">
        <v>293</v>
      </c>
      <c r="G468" s="127" t="s">
        <v>212</v>
      </c>
      <c r="H468" s="127" t="s">
        <v>201</v>
      </c>
      <c r="I468" s="127" t="s">
        <v>364</v>
      </c>
      <c r="J468" s="121" t="s">
        <v>103</v>
      </c>
      <c r="K468" s="160">
        <f>320.6</f>
        <v>320.60000000000002</v>
      </c>
      <c r="L468" s="160">
        <f>320.6</f>
        <v>320.60000000000002</v>
      </c>
      <c r="M468" s="136">
        <f>320.6</f>
        <v>320.60000000000002</v>
      </c>
      <c r="N468" s="124"/>
      <c r="O468" s="125"/>
    </row>
    <row r="469" spans="2:15" s="123" customFormat="1" ht="47.25">
      <c r="B469" s="120" t="s">
        <v>206</v>
      </c>
      <c r="C469" s="121" t="s">
        <v>104</v>
      </c>
      <c r="D469" s="121" t="s">
        <v>71</v>
      </c>
      <c r="E469" s="121" t="s">
        <v>92</v>
      </c>
      <c r="F469" s="127" t="s">
        <v>293</v>
      </c>
      <c r="G469" s="127" t="s">
        <v>212</v>
      </c>
      <c r="H469" s="127" t="s">
        <v>201</v>
      </c>
      <c r="I469" s="127" t="s">
        <v>364</v>
      </c>
      <c r="J469" s="121" t="s">
        <v>22</v>
      </c>
      <c r="K469" s="160">
        <f>K470</f>
        <v>37</v>
      </c>
      <c r="L469" s="160">
        <f>L470</f>
        <v>89.7</v>
      </c>
      <c r="M469" s="136">
        <f>M470</f>
        <v>89.7</v>
      </c>
      <c r="N469" s="124"/>
      <c r="O469" s="125"/>
    </row>
    <row r="470" spans="2:15" s="123" customFormat="1" ht="47.25">
      <c r="B470" s="120" t="s">
        <v>23</v>
      </c>
      <c r="C470" s="121" t="s">
        <v>104</v>
      </c>
      <c r="D470" s="121" t="s">
        <v>71</v>
      </c>
      <c r="E470" s="121" t="s">
        <v>92</v>
      </c>
      <c r="F470" s="127" t="s">
        <v>293</v>
      </c>
      <c r="G470" s="127" t="s">
        <v>212</v>
      </c>
      <c r="H470" s="127" t="s">
        <v>201</v>
      </c>
      <c r="I470" s="127" t="s">
        <v>364</v>
      </c>
      <c r="J470" s="121" t="s">
        <v>24</v>
      </c>
      <c r="K470" s="160">
        <f>37</f>
        <v>37</v>
      </c>
      <c r="L470" s="160">
        <f>89.7</f>
        <v>89.7</v>
      </c>
      <c r="M470" s="136">
        <f>89.7</f>
        <v>89.7</v>
      </c>
      <c r="N470" s="124"/>
      <c r="O470" s="125"/>
    </row>
    <row r="471" spans="2:15" s="123" customFormat="1" ht="150" customHeight="1">
      <c r="B471" s="162" t="s">
        <v>365</v>
      </c>
      <c r="C471" s="121" t="s">
        <v>104</v>
      </c>
      <c r="D471" s="121" t="s">
        <v>71</v>
      </c>
      <c r="E471" s="121" t="s">
        <v>92</v>
      </c>
      <c r="F471" s="127" t="s">
        <v>293</v>
      </c>
      <c r="G471" s="127" t="s">
        <v>212</v>
      </c>
      <c r="H471" s="127" t="s">
        <v>201</v>
      </c>
      <c r="I471" s="127" t="s">
        <v>366</v>
      </c>
      <c r="J471" s="121"/>
      <c r="K471" s="160">
        <f t="shared" ref="K471:M472" si="79">K472</f>
        <v>126.9</v>
      </c>
      <c r="L471" s="160">
        <f t="shared" si="79"/>
        <v>115.9</v>
      </c>
      <c r="M471" s="136">
        <f t="shared" si="79"/>
        <v>115.9</v>
      </c>
      <c r="N471" s="124"/>
      <c r="O471" s="125"/>
    </row>
    <row r="472" spans="2:15" s="123" customFormat="1" ht="47.25">
      <c r="B472" s="120" t="s">
        <v>206</v>
      </c>
      <c r="C472" s="121" t="s">
        <v>104</v>
      </c>
      <c r="D472" s="121" t="s">
        <v>71</v>
      </c>
      <c r="E472" s="121" t="s">
        <v>92</v>
      </c>
      <c r="F472" s="127" t="s">
        <v>293</v>
      </c>
      <c r="G472" s="127" t="s">
        <v>212</v>
      </c>
      <c r="H472" s="127" t="s">
        <v>201</v>
      </c>
      <c r="I472" s="127" t="s">
        <v>366</v>
      </c>
      <c r="J472" s="121" t="s">
        <v>22</v>
      </c>
      <c r="K472" s="160">
        <f t="shared" si="79"/>
        <v>126.9</v>
      </c>
      <c r="L472" s="160">
        <f t="shared" si="79"/>
        <v>115.9</v>
      </c>
      <c r="M472" s="136">
        <f t="shared" si="79"/>
        <v>115.9</v>
      </c>
      <c r="N472" s="124"/>
      <c r="O472" s="125"/>
    </row>
    <row r="473" spans="2:15" s="123" customFormat="1" ht="47.25">
      <c r="B473" s="120" t="s">
        <v>23</v>
      </c>
      <c r="C473" s="121" t="s">
        <v>104</v>
      </c>
      <c r="D473" s="121" t="s">
        <v>71</v>
      </c>
      <c r="E473" s="121" t="s">
        <v>92</v>
      </c>
      <c r="F473" s="127" t="s">
        <v>293</v>
      </c>
      <c r="G473" s="127" t="s">
        <v>212</v>
      </c>
      <c r="H473" s="127" t="s">
        <v>201</v>
      </c>
      <c r="I473" s="127" t="s">
        <v>366</v>
      </c>
      <c r="J473" s="121" t="s">
        <v>24</v>
      </c>
      <c r="K473" s="160">
        <f>126.9</f>
        <v>126.9</v>
      </c>
      <c r="L473" s="160">
        <f>115.9</f>
        <v>115.9</v>
      </c>
      <c r="M473" s="136">
        <f>115.9</f>
        <v>115.9</v>
      </c>
      <c r="N473" s="124"/>
      <c r="O473" s="125"/>
    </row>
    <row r="474" spans="2:15" s="123" customFormat="1" ht="126">
      <c r="B474" s="162" t="s">
        <v>310</v>
      </c>
      <c r="C474" s="121" t="s">
        <v>104</v>
      </c>
      <c r="D474" s="121" t="s">
        <v>71</v>
      </c>
      <c r="E474" s="121" t="s">
        <v>92</v>
      </c>
      <c r="F474" s="127" t="s">
        <v>293</v>
      </c>
      <c r="G474" s="127" t="s">
        <v>212</v>
      </c>
      <c r="H474" s="127" t="s">
        <v>201</v>
      </c>
      <c r="I474" s="127" t="s">
        <v>311</v>
      </c>
      <c r="J474" s="121"/>
      <c r="K474" s="160">
        <f>K475+K477</f>
        <v>252.5</v>
      </c>
      <c r="L474" s="160">
        <f>L475+L477</f>
        <v>242.70000000000002</v>
      </c>
      <c r="M474" s="136">
        <f>M475+M477</f>
        <v>242.70000000000002</v>
      </c>
      <c r="N474" s="124"/>
      <c r="O474" s="125"/>
    </row>
    <row r="475" spans="2:15" s="123" customFormat="1" ht="94.5">
      <c r="B475" s="120" t="s">
        <v>17</v>
      </c>
      <c r="C475" s="121" t="s">
        <v>104</v>
      </c>
      <c r="D475" s="121" t="s">
        <v>71</v>
      </c>
      <c r="E475" s="121" t="s">
        <v>92</v>
      </c>
      <c r="F475" s="127" t="s">
        <v>293</v>
      </c>
      <c r="G475" s="127" t="s">
        <v>212</v>
      </c>
      <c r="H475" s="127" t="s">
        <v>201</v>
      </c>
      <c r="I475" s="127" t="s">
        <v>311</v>
      </c>
      <c r="J475" s="121" t="s">
        <v>18</v>
      </c>
      <c r="K475" s="160">
        <f>K476</f>
        <v>210.3</v>
      </c>
      <c r="L475" s="160">
        <f>L476</f>
        <v>210.3</v>
      </c>
      <c r="M475" s="136">
        <f>M476</f>
        <v>210.3</v>
      </c>
      <c r="N475" s="124"/>
      <c r="O475" s="125"/>
    </row>
    <row r="476" spans="2:15" s="123" customFormat="1" ht="31.5">
      <c r="B476" s="128" t="s">
        <v>102</v>
      </c>
      <c r="C476" s="121" t="s">
        <v>104</v>
      </c>
      <c r="D476" s="121" t="s">
        <v>71</v>
      </c>
      <c r="E476" s="121" t="s">
        <v>92</v>
      </c>
      <c r="F476" s="127" t="s">
        <v>293</v>
      </c>
      <c r="G476" s="127" t="s">
        <v>212</v>
      </c>
      <c r="H476" s="127" t="s">
        <v>201</v>
      </c>
      <c r="I476" s="127" t="s">
        <v>311</v>
      </c>
      <c r="J476" s="121" t="s">
        <v>103</v>
      </c>
      <c r="K476" s="160">
        <f>210.3</f>
        <v>210.3</v>
      </c>
      <c r="L476" s="160">
        <f>210.3</f>
        <v>210.3</v>
      </c>
      <c r="M476" s="136">
        <f>210.3</f>
        <v>210.3</v>
      </c>
      <c r="N476" s="124"/>
      <c r="O476" s="125"/>
    </row>
    <row r="477" spans="2:15" s="123" customFormat="1" ht="47.25">
      <c r="B477" s="120" t="s">
        <v>206</v>
      </c>
      <c r="C477" s="121" t="s">
        <v>104</v>
      </c>
      <c r="D477" s="121" t="s">
        <v>71</v>
      </c>
      <c r="E477" s="121" t="s">
        <v>92</v>
      </c>
      <c r="F477" s="127" t="s">
        <v>293</v>
      </c>
      <c r="G477" s="127" t="s">
        <v>212</v>
      </c>
      <c r="H477" s="127" t="s">
        <v>201</v>
      </c>
      <c r="I477" s="127" t="s">
        <v>311</v>
      </c>
      <c r="J477" s="121" t="s">
        <v>22</v>
      </c>
      <c r="K477" s="160">
        <f>K478</f>
        <v>42.2</v>
      </c>
      <c r="L477" s="160">
        <f>L478</f>
        <v>32.4</v>
      </c>
      <c r="M477" s="136">
        <f>M478</f>
        <v>32.4</v>
      </c>
      <c r="N477" s="124"/>
      <c r="O477" s="125"/>
    </row>
    <row r="478" spans="2:15" s="123" customFormat="1" ht="47.25">
      <c r="B478" s="120" t="s">
        <v>23</v>
      </c>
      <c r="C478" s="121" t="s">
        <v>104</v>
      </c>
      <c r="D478" s="121" t="s">
        <v>71</v>
      </c>
      <c r="E478" s="121" t="s">
        <v>92</v>
      </c>
      <c r="F478" s="127" t="s">
        <v>293</v>
      </c>
      <c r="G478" s="127" t="s">
        <v>212</v>
      </c>
      <c r="H478" s="127" t="s">
        <v>201</v>
      </c>
      <c r="I478" s="127" t="s">
        <v>311</v>
      </c>
      <c r="J478" s="121" t="s">
        <v>24</v>
      </c>
      <c r="K478" s="160">
        <f>42.2</f>
        <v>42.2</v>
      </c>
      <c r="L478" s="160">
        <f>32.4</f>
        <v>32.4</v>
      </c>
      <c r="M478" s="136">
        <f>32.4</f>
        <v>32.4</v>
      </c>
      <c r="N478" s="124"/>
      <c r="O478" s="125"/>
    </row>
    <row r="479" spans="2:15" s="123" customFormat="1">
      <c r="B479" s="114" t="s">
        <v>74</v>
      </c>
      <c r="C479" s="115" t="s">
        <v>104</v>
      </c>
      <c r="D479" s="115" t="s">
        <v>75</v>
      </c>
      <c r="E479" s="115"/>
      <c r="F479" s="115"/>
      <c r="G479" s="115"/>
      <c r="H479" s="115"/>
      <c r="I479" s="115"/>
      <c r="J479" s="115"/>
      <c r="K479" s="161">
        <f t="shared" ref="K479:M484" si="80">K480</f>
        <v>4065.2</v>
      </c>
      <c r="L479" s="161">
        <f t="shared" si="80"/>
        <v>3183.9</v>
      </c>
      <c r="M479" s="137">
        <f t="shared" si="80"/>
        <v>3183.9</v>
      </c>
      <c r="N479" s="124"/>
      <c r="O479" s="125"/>
    </row>
    <row r="480" spans="2:15" s="123" customFormat="1">
      <c r="B480" s="114" t="s">
        <v>118</v>
      </c>
      <c r="C480" s="115" t="s">
        <v>104</v>
      </c>
      <c r="D480" s="115" t="s">
        <v>75</v>
      </c>
      <c r="E480" s="115" t="s">
        <v>62</v>
      </c>
      <c r="F480" s="115"/>
      <c r="G480" s="115"/>
      <c r="H480" s="115"/>
      <c r="I480" s="115"/>
      <c r="J480" s="115"/>
      <c r="K480" s="161">
        <f t="shared" si="80"/>
        <v>4065.2</v>
      </c>
      <c r="L480" s="161">
        <f t="shared" si="80"/>
        <v>3183.9</v>
      </c>
      <c r="M480" s="137">
        <f t="shared" si="80"/>
        <v>3183.9</v>
      </c>
      <c r="N480" s="124"/>
      <c r="O480" s="125"/>
    </row>
    <row r="481" spans="2:15" s="123" customFormat="1" ht="47.25">
      <c r="B481" s="162" t="s">
        <v>245</v>
      </c>
      <c r="C481" s="121" t="s">
        <v>104</v>
      </c>
      <c r="D481" s="121" t="s">
        <v>75</v>
      </c>
      <c r="E481" s="121" t="s">
        <v>62</v>
      </c>
      <c r="F481" s="127" t="s">
        <v>246</v>
      </c>
      <c r="G481" s="127" t="s">
        <v>200</v>
      </c>
      <c r="H481" s="127" t="s">
        <v>201</v>
      </c>
      <c r="I481" s="127" t="s">
        <v>202</v>
      </c>
      <c r="J481" s="121"/>
      <c r="K481" s="160">
        <f t="shared" si="80"/>
        <v>4065.2</v>
      </c>
      <c r="L481" s="160">
        <f t="shared" si="80"/>
        <v>3183.9</v>
      </c>
      <c r="M481" s="136">
        <f t="shared" si="80"/>
        <v>3183.9</v>
      </c>
      <c r="N481" s="124"/>
      <c r="O481" s="125"/>
    </row>
    <row r="482" spans="2:15" s="123" customFormat="1">
      <c r="B482" s="162" t="s">
        <v>118</v>
      </c>
      <c r="C482" s="121" t="s">
        <v>104</v>
      </c>
      <c r="D482" s="121" t="s">
        <v>75</v>
      </c>
      <c r="E482" s="121" t="s">
        <v>62</v>
      </c>
      <c r="F482" s="127" t="s">
        <v>246</v>
      </c>
      <c r="G482" s="127" t="s">
        <v>6</v>
      </c>
      <c r="H482" s="127" t="s">
        <v>201</v>
      </c>
      <c r="I482" s="127" t="s">
        <v>202</v>
      </c>
      <c r="J482" s="121"/>
      <c r="K482" s="160">
        <f t="shared" si="80"/>
        <v>4065.2</v>
      </c>
      <c r="L482" s="160">
        <f t="shared" si="80"/>
        <v>3183.9</v>
      </c>
      <c r="M482" s="136">
        <f t="shared" si="80"/>
        <v>3183.9</v>
      </c>
      <c r="N482" s="124"/>
      <c r="O482" s="125"/>
    </row>
    <row r="483" spans="2:15" s="123" customFormat="1" ht="78.75">
      <c r="B483" s="162" t="s">
        <v>119</v>
      </c>
      <c r="C483" s="121" t="s">
        <v>104</v>
      </c>
      <c r="D483" s="121" t="s">
        <v>75</v>
      </c>
      <c r="E483" s="121" t="s">
        <v>62</v>
      </c>
      <c r="F483" s="127" t="s">
        <v>246</v>
      </c>
      <c r="G483" s="127" t="s">
        <v>6</v>
      </c>
      <c r="H483" s="127" t="s">
        <v>201</v>
      </c>
      <c r="I483" s="127" t="s">
        <v>367</v>
      </c>
      <c r="J483" s="121"/>
      <c r="K483" s="160">
        <f t="shared" si="80"/>
        <v>4065.2</v>
      </c>
      <c r="L483" s="160">
        <f t="shared" si="80"/>
        <v>3183.9</v>
      </c>
      <c r="M483" s="136">
        <f t="shared" si="80"/>
        <v>3183.9</v>
      </c>
      <c r="N483" s="124"/>
      <c r="O483" s="125"/>
    </row>
    <row r="484" spans="2:15" s="123" customFormat="1" ht="31.5">
      <c r="B484" s="120" t="s">
        <v>77</v>
      </c>
      <c r="C484" s="121" t="s">
        <v>104</v>
      </c>
      <c r="D484" s="121" t="s">
        <v>75</v>
      </c>
      <c r="E484" s="121" t="s">
        <v>62</v>
      </c>
      <c r="F484" s="127" t="s">
        <v>246</v>
      </c>
      <c r="G484" s="127" t="s">
        <v>6</v>
      </c>
      <c r="H484" s="127" t="s">
        <v>201</v>
      </c>
      <c r="I484" s="127" t="s">
        <v>367</v>
      </c>
      <c r="J484" s="121" t="s">
        <v>78</v>
      </c>
      <c r="K484" s="160">
        <f t="shared" si="80"/>
        <v>4065.2</v>
      </c>
      <c r="L484" s="160">
        <f t="shared" si="80"/>
        <v>3183.9</v>
      </c>
      <c r="M484" s="136">
        <f t="shared" si="80"/>
        <v>3183.9</v>
      </c>
      <c r="N484" s="124"/>
      <c r="O484" s="125"/>
    </row>
    <row r="485" spans="2:15" s="123" customFormat="1" ht="31.5">
      <c r="B485" s="120" t="s">
        <v>79</v>
      </c>
      <c r="C485" s="121" t="s">
        <v>104</v>
      </c>
      <c r="D485" s="121" t="s">
        <v>75</v>
      </c>
      <c r="E485" s="121" t="s">
        <v>62</v>
      </c>
      <c r="F485" s="127" t="s">
        <v>246</v>
      </c>
      <c r="G485" s="127" t="s">
        <v>6</v>
      </c>
      <c r="H485" s="127" t="s">
        <v>201</v>
      </c>
      <c r="I485" s="127" t="s">
        <v>367</v>
      </c>
      <c r="J485" s="121" t="s">
        <v>80</v>
      </c>
      <c r="K485" s="160">
        <f>4065.2</f>
        <v>4065.2</v>
      </c>
      <c r="L485" s="160">
        <f>3183.9</f>
        <v>3183.9</v>
      </c>
      <c r="M485" s="136">
        <f>3183.9</f>
        <v>3183.9</v>
      </c>
      <c r="N485" s="124"/>
      <c r="O485" s="125"/>
    </row>
    <row r="486" spans="2:15" s="123" customFormat="1" ht="31.5">
      <c r="B486" s="114" t="s">
        <v>120</v>
      </c>
      <c r="C486" s="115" t="s">
        <v>121</v>
      </c>
      <c r="D486" s="115"/>
      <c r="E486" s="115"/>
      <c r="F486" s="115"/>
      <c r="G486" s="115"/>
      <c r="H486" s="115"/>
      <c r="I486" s="115"/>
      <c r="J486" s="115"/>
      <c r="K486" s="161">
        <f>K487+K498</f>
        <v>63492.346999999994</v>
      </c>
      <c r="L486" s="161">
        <f>L487+L498</f>
        <v>65003.367499999993</v>
      </c>
      <c r="M486" s="137">
        <f>M487+M498</f>
        <v>66588.335000000006</v>
      </c>
      <c r="N486" s="124"/>
      <c r="O486" s="125"/>
    </row>
    <row r="487" spans="2:15" s="123" customFormat="1">
      <c r="B487" s="114" t="s">
        <v>70</v>
      </c>
      <c r="C487" s="115" t="s">
        <v>121</v>
      </c>
      <c r="D487" s="115" t="s">
        <v>71</v>
      </c>
      <c r="E487" s="115"/>
      <c r="F487" s="115"/>
      <c r="G487" s="115"/>
      <c r="H487" s="115"/>
      <c r="I487" s="115"/>
      <c r="J487" s="115"/>
      <c r="K487" s="161">
        <f>K488</f>
        <v>9472</v>
      </c>
      <c r="L487" s="161">
        <f>L488</f>
        <v>9708.7999999999993</v>
      </c>
      <c r="M487" s="137">
        <f>M488</f>
        <v>9945.6</v>
      </c>
      <c r="N487" s="124"/>
      <c r="O487" s="125"/>
    </row>
    <row r="488" spans="2:15" s="123" customFormat="1">
      <c r="B488" s="114" t="s">
        <v>109</v>
      </c>
      <c r="C488" s="115" t="s">
        <v>121</v>
      </c>
      <c r="D488" s="115" t="s">
        <v>71</v>
      </c>
      <c r="E488" s="115" t="s">
        <v>38</v>
      </c>
      <c r="F488" s="115"/>
      <c r="G488" s="115"/>
      <c r="H488" s="115"/>
      <c r="I488" s="115"/>
      <c r="J488" s="115"/>
      <c r="K488" s="161">
        <f>K490</f>
        <v>9472</v>
      </c>
      <c r="L488" s="161">
        <f>L490</f>
        <v>9708.7999999999993</v>
      </c>
      <c r="M488" s="137">
        <f>M490</f>
        <v>9945.6</v>
      </c>
      <c r="N488" s="124"/>
      <c r="O488" s="125"/>
    </row>
    <row r="489" spans="2:15" s="123" customFormat="1" ht="47.25">
      <c r="B489" s="162" t="s">
        <v>292</v>
      </c>
      <c r="C489" s="121" t="s">
        <v>121</v>
      </c>
      <c r="D489" s="121" t="s">
        <v>71</v>
      </c>
      <c r="E489" s="121" t="s">
        <v>38</v>
      </c>
      <c r="F489" s="127" t="s">
        <v>293</v>
      </c>
      <c r="G489" s="127" t="s">
        <v>200</v>
      </c>
      <c r="H489" s="127" t="s">
        <v>201</v>
      </c>
      <c r="I489" s="127" t="s">
        <v>202</v>
      </c>
      <c r="J489" s="121"/>
      <c r="K489" s="160">
        <f t="shared" ref="K489:M490" si="81">K490</f>
        <v>9472</v>
      </c>
      <c r="L489" s="160">
        <f t="shared" si="81"/>
        <v>9708.7999999999993</v>
      </c>
      <c r="M489" s="136">
        <f t="shared" si="81"/>
        <v>9945.6</v>
      </c>
      <c r="N489" s="124"/>
      <c r="O489" s="125"/>
    </row>
    <row r="490" spans="2:15" s="123" customFormat="1">
      <c r="B490" s="162" t="s">
        <v>111</v>
      </c>
      <c r="C490" s="121" t="s">
        <v>121</v>
      </c>
      <c r="D490" s="121" t="s">
        <v>71</v>
      </c>
      <c r="E490" s="121" t="s">
        <v>38</v>
      </c>
      <c r="F490" s="127" t="s">
        <v>293</v>
      </c>
      <c r="G490" s="127" t="s">
        <v>6</v>
      </c>
      <c r="H490" s="127" t="s">
        <v>201</v>
      </c>
      <c r="I490" s="127" t="s">
        <v>202</v>
      </c>
      <c r="J490" s="121"/>
      <c r="K490" s="160">
        <f t="shared" si="81"/>
        <v>9472</v>
      </c>
      <c r="L490" s="160">
        <f t="shared" si="81"/>
        <v>9708.7999999999993</v>
      </c>
      <c r="M490" s="136">
        <f t="shared" si="81"/>
        <v>9945.6</v>
      </c>
      <c r="N490" s="124"/>
      <c r="O490" s="125"/>
    </row>
    <row r="491" spans="2:15" s="123" customFormat="1" ht="47.25">
      <c r="B491" s="162" t="s">
        <v>300</v>
      </c>
      <c r="C491" s="121"/>
      <c r="D491" s="121"/>
      <c r="E491" s="121"/>
      <c r="F491" s="127" t="s">
        <v>293</v>
      </c>
      <c r="G491" s="127" t="s">
        <v>6</v>
      </c>
      <c r="H491" s="127" t="s">
        <v>201</v>
      </c>
      <c r="I491" s="127" t="s">
        <v>301</v>
      </c>
      <c r="J491" s="121"/>
      <c r="K491" s="160">
        <f>K492+K495</f>
        <v>9472</v>
      </c>
      <c r="L491" s="160">
        <f>L492+L495</f>
        <v>9708.7999999999993</v>
      </c>
      <c r="M491" s="136">
        <f>M492+M495</f>
        <v>9945.6</v>
      </c>
      <c r="N491" s="124"/>
      <c r="O491" s="125"/>
    </row>
    <row r="492" spans="2:15" s="123" customFormat="1" ht="47.25">
      <c r="B492" s="162" t="s">
        <v>302</v>
      </c>
      <c r="C492" s="121" t="s">
        <v>121</v>
      </c>
      <c r="D492" s="121" t="s">
        <v>71</v>
      </c>
      <c r="E492" s="121" t="s">
        <v>38</v>
      </c>
      <c r="F492" s="127" t="s">
        <v>293</v>
      </c>
      <c r="G492" s="127" t="s">
        <v>6</v>
      </c>
      <c r="H492" s="127" t="s">
        <v>201</v>
      </c>
      <c r="I492" s="127" t="s">
        <v>303</v>
      </c>
      <c r="J492" s="121"/>
      <c r="K492" s="160">
        <f t="shared" ref="K492:M493" si="82">K493</f>
        <v>9462</v>
      </c>
      <c r="L492" s="160">
        <f t="shared" si="82"/>
        <v>9698.5499999999993</v>
      </c>
      <c r="M492" s="136">
        <f t="shared" si="82"/>
        <v>9935.1</v>
      </c>
      <c r="N492" s="124"/>
      <c r="O492" s="125"/>
    </row>
    <row r="493" spans="2:15" s="123" customFormat="1" ht="47.25">
      <c r="B493" s="120" t="s">
        <v>85</v>
      </c>
      <c r="C493" s="121" t="s">
        <v>121</v>
      </c>
      <c r="D493" s="121" t="s">
        <v>71</v>
      </c>
      <c r="E493" s="121" t="s">
        <v>38</v>
      </c>
      <c r="F493" s="127" t="s">
        <v>293</v>
      </c>
      <c r="G493" s="127" t="s">
        <v>6</v>
      </c>
      <c r="H493" s="127" t="s">
        <v>201</v>
      </c>
      <c r="I493" s="127" t="s">
        <v>303</v>
      </c>
      <c r="J493" s="121" t="s">
        <v>86</v>
      </c>
      <c r="K493" s="160">
        <f t="shared" si="82"/>
        <v>9462</v>
      </c>
      <c r="L493" s="160">
        <f t="shared" si="82"/>
        <v>9698.5499999999993</v>
      </c>
      <c r="M493" s="136">
        <f t="shared" si="82"/>
        <v>9935.1</v>
      </c>
      <c r="N493" s="124"/>
      <c r="O493" s="125"/>
    </row>
    <row r="494" spans="2:15" s="123" customFormat="1">
      <c r="B494" s="120" t="s">
        <v>107</v>
      </c>
      <c r="C494" s="121" t="s">
        <v>121</v>
      </c>
      <c r="D494" s="121" t="s">
        <v>71</v>
      </c>
      <c r="E494" s="121" t="s">
        <v>38</v>
      </c>
      <c r="F494" s="127" t="s">
        <v>293</v>
      </c>
      <c r="G494" s="127" t="s">
        <v>6</v>
      </c>
      <c r="H494" s="127" t="s">
        <v>201</v>
      </c>
      <c r="I494" s="127" t="s">
        <v>303</v>
      </c>
      <c r="J494" s="121" t="s">
        <v>108</v>
      </c>
      <c r="K494" s="160">
        <f>((9584-528)+406)</f>
        <v>9462</v>
      </c>
      <c r="L494" s="160">
        <f>9462*102.5%</f>
        <v>9698.5499999999993</v>
      </c>
      <c r="M494" s="136">
        <f>9462*105%</f>
        <v>9935.1</v>
      </c>
      <c r="N494" s="124"/>
      <c r="O494" s="125"/>
    </row>
    <row r="495" spans="2:15" s="123" customFormat="1" ht="47.25">
      <c r="B495" s="162" t="s">
        <v>312</v>
      </c>
      <c r="C495" s="121" t="s">
        <v>121</v>
      </c>
      <c r="D495" s="121" t="s">
        <v>71</v>
      </c>
      <c r="E495" s="121" t="s">
        <v>38</v>
      </c>
      <c r="F495" s="127" t="s">
        <v>293</v>
      </c>
      <c r="G495" s="127" t="s">
        <v>6</v>
      </c>
      <c r="H495" s="127" t="s">
        <v>201</v>
      </c>
      <c r="I495" s="127" t="s">
        <v>313</v>
      </c>
      <c r="J495" s="121"/>
      <c r="K495" s="160">
        <f t="shared" ref="K495:M496" si="83">K496</f>
        <v>10</v>
      </c>
      <c r="L495" s="160">
        <f t="shared" si="83"/>
        <v>10.25</v>
      </c>
      <c r="M495" s="136">
        <f t="shared" si="83"/>
        <v>10.5</v>
      </c>
      <c r="N495" s="124"/>
      <c r="O495" s="125"/>
    </row>
    <row r="496" spans="2:15" s="123" customFormat="1" ht="47.25">
      <c r="B496" s="120" t="s">
        <v>85</v>
      </c>
      <c r="C496" s="121" t="s">
        <v>121</v>
      </c>
      <c r="D496" s="121" t="s">
        <v>71</v>
      </c>
      <c r="E496" s="121" t="s">
        <v>38</v>
      </c>
      <c r="F496" s="127" t="s">
        <v>293</v>
      </c>
      <c r="G496" s="127" t="s">
        <v>6</v>
      </c>
      <c r="H496" s="127" t="s">
        <v>201</v>
      </c>
      <c r="I496" s="127" t="s">
        <v>313</v>
      </c>
      <c r="J496" s="121" t="s">
        <v>86</v>
      </c>
      <c r="K496" s="160">
        <f t="shared" si="83"/>
        <v>10</v>
      </c>
      <c r="L496" s="160">
        <f t="shared" si="83"/>
        <v>10.25</v>
      </c>
      <c r="M496" s="136">
        <f t="shared" si="83"/>
        <v>10.5</v>
      </c>
      <c r="N496" s="124"/>
      <c r="O496" s="125"/>
    </row>
    <row r="497" spans="2:15" s="123" customFormat="1">
      <c r="B497" s="120" t="s">
        <v>107</v>
      </c>
      <c r="C497" s="121" t="s">
        <v>121</v>
      </c>
      <c r="D497" s="121" t="s">
        <v>71</v>
      </c>
      <c r="E497" s="121" t="s">
        <v>38</v>
      </c>
      <c r="F497" s="127" t="s">
        <v>293</v>
      </c>
      <c r="G497" s="127" t="s">
        <v>6</v>
      </c>
      <c r="H497" s="127" t="s">
        <v>201</v>
      </c>
      <c r="I497" s="127" t="s">
        <v>313</v>
      </c>
      <c r="J497" s="121" t="s">
        <v>108</v>
      </c>
      <c r="K497" s="160">
        <f>10</f>
        <v>10</v>
      </c>
      <c r="L497" s="160">
        <f>10*102.5%</f>
        <v>10.25</v>
      </c>
      <c r="M497" s="136">
        <f>10*105%</f>
        <v>10.5</v>
      </c>
      <c r="N497" s="124"/>
      <c r="O497" s="125"/>
    </row>
    <row r="498" spans="2:15" s="123" customFormat="1">
      <c r="B498" s="114" t="s">
        <v>122</v>
      </c>
      <c r="C498" s="115" t="s">
        <v>121</v>
      </c>
      <c r="D498" s="115" t="s">
        <v>123</v>
      </c>
      <c r="E498" s="115"/>
      <c r="F498" s="115"/>
      <c r="G498" s="115"/>
      <c r="H498" s="115"/>
      <c r="I498" s="115"/>
      <c r="J498" s="115"/>
      <c r="K498" s="161">
        <f>K499+K523</f>
        <v>54020.346999999994</v>
      </c>
      <c r="L498" s="161">
        <f>L499+L523</f>
        <v>55294.56749999999</v>
      </c>
      <c r="M498" s="137">
        <f>M499+M523</f>
        <v>56642.735000000001</v>
      </c>
      <c r="N498" s="124"/>
      <c r="O498" s="125"/>
    </row>
    <row r="499" spans="2:15" s="123" customFormat="1">
      <c r="B499" s="114" t="s">
        <v>124</v>
      </c>
      <c r="C499" s="115" t="s">
        <v>121</v>
      </c>
      <c r="D499" s="115" t="s">
        <v>123</v>
      </c>
      <c r="E499" s="115" t="s">
        <v>13</v>
      </c>
      <c r="F499" s="115"/>
      <c r="G499" s="115"/>
      <c r="H499" s="115"/>
      <c r="I499" s="115"/>
      <c r="J499" s="115"/>
      <c r="K499" s="161">
        <f>K500</f>
        <v>50916.346999999994</v>
      </c>
      <c r="L499" s="161">
        <f>L500</f>
        <v>52112.967499999992</v>
      </c>
      <c r="M499" s="137">
        <f>M500</f>
        <v>53383.535000000003</v>
      </c>
      <c r="N499" s="124"/>
      <c r="O499" s="125"/>
    </row>
    <row r="500" spans="2:15" s="123" customFormat="1" ht="47.25">
      <c r="B500" s="162" t="s">
        <v>292</v>
      </c>
      <c r="C500" s="121" t="s">
        <v>121</v>
      </c>
      <c r="D500" s="121" t="s">
        <v>123</v>
      </c>
      <c r="E500" s="121" t="s">
        <v>13</v>
      </c>
      <c r="F500" s="127" t="s">
        <v>293</v>
      </c>
      <c r="G500" s="127" t="s">
        <v>200</v>
      </c>
      <c r="H500" s="127" t="s">
        <v>201</v>
      </c>
      <c r="I500" s="127" t="s">
        <v>202</v>
      </c>
      <c r="J500" s="121"/>
      <c r="K500" s="160">
        <f>K501+K509</f>
        <v>50916.346999999994</v>
      </c>
      <c r="L500" s="160">
        <f>L501+L509</f>
        <v>52112.967499999992</v>
      </c>
      <c r="M500" s="136">
        <f>M501+M509</f>
        <v>53383.535000000003</v>
      </c>
      <c r="N500" s="124"/>
      <c r="O500" s="125"/>
    </row>
    <row r="501" spans="2:15" s="123" customFormat="1" ht="31.5">
      <c r="B501" s="162" t="s">
        <v>125</v>
      </c>
      <c r="C501" s="121" t="s">
        <v>121</v>
      </c>
      <c r="D501" s="121" t="s">
        <v>123</v>
      </c>
      <c r="E501" s="121" t="s">
        <v>13</v>
      </c>
      <c r="F501" s="127" t="s">
        <v>293</v>
      </c>
      <c r="G501" s="127" t="s">
        <v>7</v>
      </c>
      <c r="H501" s="127" t="s">
        <v>201</v>
      </c>
      <c r="I501" s="127" t="s">
        <v>202</v>
      </c>
      <c r="J501" s="121"/>
      <c r="K501" s="160">
        <f>K502</f>
        <v>38009.699999999997</v>
      </c>
      <c r="L501" s="160">
        <f>L502</f>
        <v>38959.94249999999</v>
      </c>
      <c r="M501" s="136">
        <f>M502</f>
        <v>39910.184999999998</v>
      </c>
      <c r="N501" s="124"/>
      <c r="O501" s="125"/>
    </row>
    <row r="502" spans="2:15" s="123" customFormat="1" ht="47.25">
      <c r="B502" s="162" t="s">
        <v>300</v>
      </c>
      <c r="C502" s="121" t="s">
        <v>121</v>
      </c>
      <c r="D502" s="121" t="s">
        <v>123</v>
      </c>
      <c r="E502" s="121" t="s">
        <v>13</v>
      </c>
      <c r="F502" s="127" t="s">
        <v>293</v>
      </c>
      <c r="G502" s="127" t="s">
        <v>7</v>
      </c>
      <c r="H502" s="127" t="s">
        <v>201</v>
      </c>
      <c r="I502" s="127" t="s">
        <v>301</v>
      </c>
      <c r="J502" s="121"/>
      <c r="K502" s="160">
        <f>K503+K506</f>
        <v>38009.699999999997</v>
      </c>
      <c r="L502" s="160">
        <f>L503+L506</f>
        <v>38959.94249999999</v>
      </c>
      <c r="M502" s="136">
        <f>M503+M506</f>
        <v>39910.184999999998</v>
      </c>
      <c r="N502" s="124"/>
      <c r="O502" s="125"/>
    </row>
    <row r="503" spans="2:15" s="123" customFormat="1" ht="47.25">
      <c r="B503" s="162" t="s">
        <v>302</v>
      </c>
      <c r="C503" s="121" t="s">
        <v>121</v>
      </c>
      <c r="D503" s="121" t="s">
        <v>123</v>
      </c>
      <c r="E503" s="121" t="s">
        <v>13</v>
      </c>
      <c r="F503" s="127" t="s">
        <v>293</v>
      </c>
      <c r="G503" s="127" t="s">
        <v>7</v>
      </c>
      <c r="H503" s="127" t="s">
        <v>201</v>
      </c>
      <c r="I503" s="127" t="s">
        <v>303</v>
      </c>
      <c r="J503" s="121"/>
      <c r="K503" s="160">
        <f t="shared" ref="K503:M504" si="84">K504</f>
        <v>37919.699999999997</v>
      </c>
      <c r="L503" s="160">
        <f t="shared" si="84"/>
        <v>38867.69249999999</v>
      </c>
      <c r="M503" s="136">
        <f t="shared" si="84"/>
        <v>39815.684999999998</v>
      </c>
      <c r="N503" s="124"/>
      <c r="O503" s="125"/>
    </row>
    <row r="504" spans="2:15" s="123" customFormat="1" ht="47.25">
      <c r="B504" s="120" t="s">
        <v>85</v>
      </c>
      <c r="C504" s="121" t="s">
        <v>121</v>
      </c>
      <c r="D504" s="121" t="s">
        <v>123</v>
      </c>
      <c r="E504" s="121" t="s">
        <v>13</v>
      </c>
      <c r="F504" s="127" t="s">
        <v>293</v>
      </c>
      <c r="G504" s="127" t="s">
        <v>7</v>
      </c>
      <c r="H504" s="127" t="s">
        <v>201</v>
      </c>
      <c r="I504" s="127" t="s">
        <v>303</v>
      </c>
      <c r="J504" s="121" t="s">
        <v>86</v>
      </c>
      <c r="K504" s="160">
        <f t="shared" si="84"/>
        <v>37919.699999999997</v>
      </c>
      <c r="L504" s="160">
        <f t="shared" si="84"/>
        <v>38867.69249999999</v>
      </c>
      <c r="M504" s="136">
        <f t="shared" si="84"/>
        <v>39815.684999999998</v>
      </c>
      <c r="N504" s="124"/>
      <c r="O504" s="125"/>
    </row>
    <row r="505" spans="2:15" s="123" customFormat="1">
      <c r="B505" s="120" t="s">
        <v>107</v>
      </c>
      <c r="C505" s="121" t="s">
        <v>121</v>
      </c>
      <c r="D505" s="121" t="s">
        <v>123</v>
      </c>
      <c r="E505" s="121" t="s">
        <v>13</v>
      </c>
      <c r="F505" s="127" t="s">
        <v>293</v>
      </c>
      <c r="G505" s="127" t="s">
        <v>7</v>
      </c>
      <c r="H505" s="127" t="s">
        <v>201</v>
      </c>
      <c r="I505" s="127" t="s">
        <v>303</v>
      </c>
      <c r="J505" s="121" t="s">
        <v>108</v>
      </c>
      <c r="K505" s="160">
        <f>(32517+4-1788)+7186.7</f>
        <v>37919.699999999997</v>
      </c>
      <c r="L505" s="160">
        <f>37919.7*102.5%</f>
        <v>38867.69249999999</v>
      </c>
      <c r="M505" s="136">
        <f>37919.7*105%</f>
        <v>39815.684999999998</v>
      </c>
      <c r="N505" s="124"/>
      <c r="O505" s="125"/>
    </row>
    <row r="506" spans="2:15" s="123" customFormat="1" ht="47.25">
      <c r="B506" s="162" t="s">
        <v>312</v>
      </c>
      <c r="C506" s="121" t="s">
        <v>121</v>
      </c>
      <c r="D506" s="121" t="s">
        <v>123</v>
      </c>
      <c r="E506" s="121" t="s">
        <v>13</v>
      </c>
      <c r="F506" s="127" t="s">
        <v>293</v>
      </c>
      <c r="G506" s="127" t="s">
        <v>7</v>
      </c>
      <c r="H506" s="127" t="s">
        <v>201</v>
      </c>
      <c r="I506" s="127" t="s">
        <v>313</v>
      </c>
      <c r="J506" s="121"/>
      <c r="K506" s="160">
        <f t="shared" ref="K506:M507" si="85">K507</f>
        <v>90</v>
      </c>
      <c r="L506" s="160">
        <f t="shared" si="85"/>
        <v>92.249999999999986</v>
      </c>
      <c r="M506" s="136">
        <f t="shared" si="85"/>
        <v>94.5</v>
      </c>
      <c r="N506" s="124"/>
      <c r="O506" s="125"/>
    </row>
    <row r="507" spans="2:15" s="123" customFormat="1" ht="47.25">
      <c r="B507" s="120" t="s">
        <v>85</v>
      </c>
      <c r="C507" s="121" t="s">
        <v>121</v>
      </c>
      <c r="D507" s="121" t="s">
        <v>123</v>
      </c>
      <c r="E507" s="121" t="s">
        <v>13</v>
      </c>
      <c r="F507" s="127" t="s">
        <v>293</v>
      </c>
      <c r="G507" s="127" t="s">
        <v>7</v>
      </c>
      <c r="H507" s="127" t="s">
        <v>201</v>
      </c>
      <c r="I507" s="127" t="s">
        <v>313</v>
      </c>
      <c r="J507" s="121" t="s">
        <v>86</v>
      </c>
      <c r="K507" s="160">
        <f t="shared" si="85"/>
        <v>90</v>
      </c>
      <c r="L507" s="160">
        <f t="shared" si="85"/>
        <v>92.249999999999986</v>
      </c>
      <c r="M507" s="136">
        <f t="shared" si="85"/>
        <v>94.5</v>
      </c>
      <c r="N507" s="124"/>
      <c r="O507" s="125"/>
    </row>
    <row r="508" spans="2:15" s="123" customFormat="1">
      <c r="B508" s="120" t="s">
        <v>107</v>
      </c>
      <c r="C508" s="121" t="s">
        <v>121</v>
      </c>
      <c r="D508" s="121" t="s">
        <v>123</v>
      </c>
      <c r="E508" s="121" t="s">
        <v>13</v>
      </c>
      <c r="F508" s="127" t="s">
        <v>293</v>
      </c>
      <c r="G508" s="127" t="s">
        <v>7</v>
      </c>
      <c r="H508" s="127" t="s">
        <v>201</v>
      </c>
      <c r="I508" s="127" t="s">
        <v>313</v>
      </c>
      <c r="J508" s="121" t="s">
        <v>108</v>
      </c>
      <c r="K508" s="160">
        <f>90</f>
        <v>90</v>
      </c>
      <c r="L508" s="160">
        <f>90*102.5%</f>
        <v>92.249999999999986</v>
      </c>
      <c r="M508" s="136">
        <f>90*105%</f>
        <v>94.5</v>
      </c>
      <c r="N508" s="124"/>
      <c r="O508" s="125"/>
    </row>
    <row r="509" spans="2:15" s="123" customFormat="1">
      <c r="B509" s="126" t="s">
        <v>126</v>
      </c>
      <c r="C509" s="121" t="s">
        <v>121</v>
      </c>
      <c r="D509" s="121" t="s">
        <v>123</v>
      </c>
      <c r="E509" s="121" t="s">
        <v>13</v>
      </c>
      <c r="F509" s="127" t="s">
        <v>293</v>
      </c>
      <c r="G509" s="127" t="s">
        <v>8</v>
      </c>
      <c r="H509" s="127" t="s">
        <v>201</v>
      </c>
      <c r="I509" s="127" t="s">
        <v>202</v>
      </c>
      <c r="J509" s="121"/>
      <c r="K509" s="160">
        <f>K510+K517+K520</f>
        <v>12906.647000000001</v>
      </c>
      <c r="L509" s="160">
        <f>L510+L517+L520</f>
        <v>13153.025</v>
      </c>
      <c r="M509" s="136">
        <f>M510+M517+M520</f>
        <v>13473.350000000002</v>
      </c>
      <c r="N509" s="124"/>
      <c r="O509" s="125"/>
    </row>
    <row r="510" spans="2:15" s="123" customFormat="1" ht="47.25">
      <c r="B510" s="162" t="s">
        <v>300</v>
      </c>
      <c r="C510" s="121" t="s">
        <v>121</v>
      </c>
      <c r="D510" s="121" t="s">
        <v>123</v>
      </c>
      <c r="E510" s="121" t="s">
        <v>13</v>
      </c>
      <c r="F510" s="127" t="s">
        <v>293</v>
      </c>
      <c r="G510" s="127" t="s">
        <v>8</v>
      </c>
      <c r="H510" s="127" t="s">
        <v>201</v>
      </c>
      <c r="I510" s="127" t="s">
        <v>301</v>
      </c>
      <c r="J510" s="121"/>
      <c r="K510" s="160">
        <f>K511+K514</f>
        <v>12813</v>
      </c>
      <c r="L510" s="160">
        <f>L511+L514</f>
        <v>13133.324999999999</v>
      </c>
      <c r="M510" s="136">
        <f>M511+M514</f>
        <v>13453.650000000001</v>
      </c>
      <c r="N510" s="124"/>
      <c r="O510" s="125"/>
    </row>
    <row r="511" spans="2:15" s="123" customFormat="1" ht="47.25">
      <c r="B511" s="162" t="s">
        <v>302</v>
      </c>
      <c r="C511" s="121" t="s">
        <v>121</v>
      </c>
      <c r="D511" s="121" t="s">
        <v>123</v>
      </c>
      <c r="E511" s="121" t="s">
        <v>13</v>
      </c>
      <c r="F511" s="127" t="s">
        <v>293</v>
      </c>
      <c r="G511" s="127" t="s">
        <v>8</v>
      </c>
      <c r="H511" s="127" t="s">
        <v>201</v>
      </c>
      <c r="I511" s="127" t="s">
        <v>303</v>
      </c>
      <c r="J511" s="121"/>
      <c r="K511" s="160">
        <f t="shared" ref="K511:M512" si="86">K512</f>
        <v>12790.6</v>
      </c>
      <c r="L511" s="160">
        <f t="shared" si="86"/>
        <v>13110.365</v>
      </c>
      <c r="M511" s="136">
        <f t="shared" si="86"/>
        <v>13430.130000000001</v>
      </c>
      <c r="N511" s="124"/>
      <c r="O511" s="125"/>
    </row>
    <row r="512" spans="2:15" s="123" customFormat="1" ht="47.25">
      <c r="B512" s="120" t="s">
        <v>85</v>
      </c>
      <c r="C512" s="121" t="s">
        <v>121</v>
      </c>
      <c r="D512" s="121" t="s">
        <v>123</v>
      </c>
      <c r="E512" s="121" t="s">
        <v>13</v>
      </c>
      <c r="F512" s="127" t="s">
        <v>293</v>
      </c>
      <c r="G512" s="127" t="s">
        <v>8</v>
      </c>
      <c r="H512" s="127" t="s">
        <v>201</v>
      </c>
      <c r="I512" s="127" t="s">
        <v>303</v>
      </c>
      <c r="J512" s="121" t="s">
        <v>86</v>
      </c>
      <c r="K512" s="160">
        <f t="shared" si="86"/>
        <v>12790.6</v>
      </c>
      <c r="L512" s="160">
        <f t="shared" si="86"/>
        <v>13110.365</v>
      </c>
      <c r="M512" s="136">
        <f t="shared" si="86"/>
        <v>13430.130000000001</v>
      </c>
      <c r="N512" s="124"/>
      <c r="O512" s="125"/>
    </row>
    <row r="513" spans="2:15" s="123" customFormat="1">
      <c r="B513" s="120" t="s">
        <v>107</v>
      </c>
      <c r="C513" s="121" t="s">
        <v>121</v>
      </c>
      <c r="D513" s="121" t="s">
        <v>123</v>
      </c>
      <c r="E513" s="121" t="s">
        <v>13</v>
      </c>
      <c r="F513" s="127" t="s">
        <v>293</v>
      </c>
      <c r="G513" s="127" t="s">
        <v>8</v>
      </c>
      <c r="H513" s="127" t="s">
        <v>201</v>
      </c>
      <c r="I513" s="127" t="s">
        <v>303</v>
      </c>
      <c r="J513" s="121" t="s">
        <v>108</v>
      </c>
      <c r="K513" s="160">
        <f>(12274-684)+1200.6</f>
        <v>12790.6</v>
      </c>
      <c r="L513" s="160">
        <f>12790.6*102.5%</f>
        <v>13110.365</v>
      </c>
      <c r="M513" s="136">
        <f>12790.6*105%</f>
        <v>13430.130000000001</v>
      </c>
      <c r="N513" s="124"/>
      <c r="O513" s="125"/>
    </row>
    <row r="514" spans="2:15" s="123" customFormat="1" ht="47.25">
      <c r="B514" s="162" t="s">
        <v>312</v>
      </c>
      <c r="C514" s="121" t="s">
        <v>121</v>
      </c>
      <c r="D514" s="121" t="s">
        <v>123</v>
      </c>
      <c r="E514" s="121" t="s">
        <v>13</v>
      </c>
      <c r="F514" s="127" t="s">
        <v>293</v>
      </c>
      <c r="G514" s="127" t="s">
        <v>8</v>
      </c>
      <c r="H514" s="127" t="s">
        <v>201</v>
      </c>
      <c r="I514" s="127" t="s">
        <v>313</v>
      </c>
      <c r="J514" s="121"/>
      <c r="K514" s="160">
        <f t="shared" ref="K514:M515" si="87">K515</f>
        <v>22.4</v>
      </c>
      <c r="L514" s="160">
        <f t="shared" si="87"/>
        <v>22.959999999999997</v>
      </c>
      <c r="M514" s="136">
        <f t="shared" si="87"/>
        <v>23.52</v>
      </c>
      <c r="N514" s="124"/>
      <c r="O514" s="125"/>
    </row>
    <row r="515" spans="2:15" s="123" customFormat="1" ht="47.25">
      <c r="B515" s="120" t="s">
        <v>85</v>
      </c>
      <c r="C515" s="121" t="s">
        <v>121</v>
      </c>
      <c r="D515" s="121" t="s">
        <v>123</v>
      </c>
      <c r="E515" s="121" t="s">
        <v>13</v>
      </c>
      <c r="F515" s="127" t="s">
        <v>293</v>
      </c>
      <c r="G515" s="127" t="s">
        <v>8</v>
      </c>
      <c r="H515" s="127" t="s">
        <v>201</v>
      </c>
      <c r="I515" s="127" t="s">
        <v>313</v>
      </c>
      <c r="J515" s="121" t="s">
        <v>86</v>
      </c>
      <c r="K515" s="160">
        <f t="shared" si="87"/>
        <v>22.4</v>
      </c>
      <c r="L515" s="160">
        <f t="shared" si="87"/>
        <v>22.959999999999997</v>
      </c>
      <c r="M515" s="136">
        <f t="shared" si="87"/>
        <v>23.52</v>
      </c>
      <c r="N515" s="124"/>
      <c r="O515" s="125"/>
    </row>
    <row r="516" spans="2:15" s="123" customFormat="1">
      <c r="B516" s="120" t="s">
        <v>107</v>
      </c>
      <c r="C516" s="121" t="s">
        <v>121</v>
      </c>
      <c r="D516" s="121" t="s">
        <v>123</v>
      </c>
      <c r="E516" s="121" t="s">
        <v>13</v>
      </c>
      <c r="F516" s="127" t="s">
        <v>293</v>
      </c>
      <c r="G516" s="127" t="s">
        <v>8</v>
      </c>
      <c r="H516" s="127" t="s">
        <v>201</v>
      </c>
      <c r="I516" s="127" t="s">
        <v>313</v>
      </c>
      <c r="J516" s="121" t="s">
        <v>108</v>
      </c>
      <c r="K516" s="160">
        <f>22.4</f>
        <v>22.4</v>
      </c>
      <c r="L516" s="160">
        <f>22.4*102.5%</f>
        <v>22.959999999999997</v>
      </c>
      <c r="M516" s="136">
        <f>22.4*105%</f>
        <v>23.52</v>
      </c>
      <c r="N516" s="124"/>
      <c r="O516" s="139"/>
    </row>
    <row r="517" spans="2:15" s="123" customFormat="1" ht="63">
      <c r="B517" s="162" t="s">
        <v>368</v>
      </c>
      <c r="C517" s="121" t="s">
        <v>121</v>
      </c>
      <c r="D517" s="121" t="s">
        <v>123</v>
      </c>
      <c r="E517" s="121" t="s">
        <v>13</v>
      </c>
      <c r="F517" s="129">
        <v>93</v>
      </c>
      <c r="G517" s="129" t="s">
        <v>8</v>
      </c>
      <c r="H517" s="129" t="s">
        <v>201</v>
      </c>
      <c r="I517" s="129" t="s">
        <v>369</v>
      </c>
      <c r="J517" s="121"/>
      <c r="K517" s="160">
        <f t="shared" ref="K517:M518" si="88">K518</f>
        <v>19.2</v>
      </c>
      <c r="L517" s="160">
        <f t="shared" si="88"/>
        <v>19.7</v>
      </c>
      <c r="M517" s="136">
        <f t="shared" si="88"/>
        <v>19.7</v>
      </c>
      <c r="N517" s="124"/>
      <c r="O517" s="125"/>
    </row>
    <row r="518" spans="2:15" s="123" customFormat="1" ht="47.25">
      <c r="B518" s="120" t="s">
        <v>85</v>
      </c>
      <c r="C518" s="121" t="s">
        <v>121</v>
      </c>
      <c r="D518" s="121" t="s">
        <v>123</v>
      </c>
      <c r="E518" s="121" t="s">
        <v>13</v>
      </c>
      <c r="F518" s="129">
        <v>93</v>
      </c>
      <c r="G518" s="129" t="s">
        <v>8</v>
      </c>
      <c r="H518" s="129" t="s">
        <v>201</v>
      </c>
      <c r="I518" s="129" t="s">
        <v>369</v>
      </c>
      <c r="J518" s="121" t="s">
        <v>86</v>
      </c>
      <c r="K518" s="160">
        <f t="shared" si="88"/>
        <v>19.2</v>
      </c>
      <c r="L518" s="160">
        <f t="shared" si="88"/>
        <v>19.7</v>
      </c>
      <c r="M518" s="136">
        <f t="shared" si="88"/>
        <v>19.7</v>
      </c>
      <c r="N518" s="124"/>
      <c r="O518" s="125"/>
    </row>
    <row r="519" spans="2:15" s="123" customFormat="1" ht="30" customHeight="1">
      <c r="B519" s="120" t="s">
        <v>107</v>
      </c>
      <c r="C519" s="121" t="s">
        <v>121</v>
      </c>
      <c r="D519" s="121" t="s">
        <v>123</v>
      </c>
      <c r="E519" s="121" t="s">
        <v>13</v>
      </c>
      <c r="F519" s="129">
        <v>93</v>
      </c>
      <c r="G519" s="129" t="s">
        <v>8</v>
      </c>
      <c r="H519" s="129" t="s">
        <v>201</v>
      </c>
      <c r="I519" s="129" t="s">
        <v>369</v>
      </c>
      <c r="J519" s="121" t="s">
        <v>108</v>
      </c>
      <c r="K519" s="160">
        <f>19.2</f>
        <v>19.2</v>
      </c>
      <c r="L519" s="160">
        <f>19.7</f>
        <v>19.7</v>
      </c>
      <c r="M519" s="136">
        <f>19.7</f>
        <v>19.7</v>
      </c>
      <c r="N519" s="124"/>
      <c r="O519" s="125"/>
    </row>
    <row r="520" spans="2:15" s="123" customFormat="1" ht="78.75">
      <c r="B520" s="162" t="s">
        <v>370</v>
      </c>
      <c r="C520" s="121" t="s">
        <v>121</v>
      </c>
      <c r="D520" s="121" t="s">
        <v>123</v>
      </c>
      <c r="E520" s="121" t="s">
        <v>13</v>
      </c>
      <c r="F520" s="129" t="s">
        <v>293</v>
      </c>
      <c r="G520" s="129" t="s">
        <v>8</v>
      </c>
      <c r="H520" s="129" t="s">
        <v>201</v>
      </c>
      <c r="I520" s="129" t="s">
        <v>371</v>
      </c>
      <c r="J520" s="121"/>
      <c r="K520" s="160">
        <f t="shared" ref="K520:M521" si="89">K521</f>
        <v>74.447000000000003</v>
      </c>
      <c r="L520" s="160">
        <f t="shared" si="89"/>
        <v>0</v>
      </c>
      <c r="M520" s="136">
        <f t="shared" si="89"/>
        <v>0</v>
      </c>
      <c r="N520" s="124"/>
      <c r="O520" s="125"/>
    </row>
    <row r="521" spans="2:15" s="123" customFormat="1" ht="47.25">
      <c r="B521" s="120" t="s">
        <v>85</v>
      </c>
      <c r="C521" s="121" t="s">
        <v>121</v>
      </c>
      <c r="D521" s="121" t="s">
        <v>123</v>
      </c>
      <c r="E521" s="121" t="s">
        <v>13</v>
      </c>
      <c r="F521" s="129" t="s">
        <v>293</v>
      </c>
      <c r="G521" s="129" t="s">
        <v>8</v>
      </c>
      <c r="H521" s="129" t="s">
        <v>201</v>
      </c>
      <c r="I521" s="129" t="s">
        <v>371</v>
      </c>
      <c r="J521" s="121" t="s">
        <v>86</v>
      </c>
      <c r="K521" s="160">
        <f t="shared" si="89"/>
        <v>74.447000000000003</v>
      </c>
      <c r="L521" s="160">
        <f t="shared" si="89"/>
        <v>0</v>
      </c>
      <c r="M521" s="136">
        <f t="shared" si="89"/>
        <v>0</v>
      </c>
      <c r="N521" s="124"/>
      <c r="O521" s="125"/>
    </row>
    <row r="522" spans="2:15" s="123" customFormat="1">
      <c r="B522" s="120" t="s">
        <v>107</v>
      </c>
      <c r="C522" s="121" t="s">
        <v>121</v>
      </c>
      <c r="D522" s="121" t="s">
        <v>123</v>
      </c>
      <c r="E522" s="121" t="s">
        <v>13</v>
      </c>
      <c r="F522" s="129" t="s">
        <v>293</v>
      </c>
      <c r="G522" s="129" t="s">
        <v>8</v>
      </c>
      <c r="H522" s="129" t="s">
        <v>201</v>
      </c>
      <c r="I522" s="129" t="s">
        <v>371</v>
      </c>
      <c r="J522" s="121" t="s">
        <v>108</v>
      </c>
      <c r="K522" s="160">
        <f>74.447</f>
        <v>74.447000000000003</v>
      </c>
      <c r="L522" s="160">
        <f>0</f>
        <v>0</v>
      </c>
      <c r="M522" s="136">
        <f>0</f>
        <v>0</v>
      </c>
      <c r="N522" s="124"/>
      <c r="O522" s="125"/>
    </row>
    <row r="523" spans="2:15" s="123" customFormat="1" ht="36" customHeight="1">
      <c r="B523" s="114" t="s">
        <v>127</v>
      </c>
      <c r="C523" s="115" t="s">
        <v>121</v>
      </c>
      <c r="D523" s="115" t="s">
        <v>123</v>
      </c>
      <c r="E523" s="115" t="s">
        <v>62</v>
      </c>
      <c r="F523" s="115"/>
      <c r="G523" s="115"/>
      <c r="H523" s="115"/>
      <c r="I523" s="115"/>
      <c r="J523" s="115"/>
      <c r="K523" s="161">
        <f>K524+K530+K540</f>
        <v>3104</v>
      </c>
      <c r="L523" s="161">
        <f>L524+L530+L540</f>
        <v>3181.6</v>
      </c>
      <c r="M523" s="137">
        <f>M524+M530+M540</f>
        <v>3259.2</v>
      </c>
      <c r="N523" s="124"/>
      <c r="O523" s="125"/>
    </row>
    <row r="524" spans="2:15" s="123" customFormat="1" ht="47.25">
      <c r="B524" s="162" t="s">
        <v>372</v>
      </c>
      <c r="C524" s="121" t="s">
        <v>121</v>
      </c>
      <c r="D524" s="121" t="s">
        <v>123</v>
      </c>
      <c r="E524" s="121" t="s">
        <v>62</v>
      </c>
      <c r="F524" s="129" t="s">
        <v>373</v>
      </c>
      <c r="G524" s="129" t="s">
        <v>200</v>
      </c>
      <c r="H524" s="129" t="s">
        <v>201</v>
      </c>
      <c r="I524" s="129" t="s">
        <v>202</v>
      </c>
      <c r="J524" s="121"/>
      <c r="K524" s="160">
        <f t="shared" ref="K524:M528" si="90">K525</f>
        <v>300</v>
      </c>
      <c r="L524" s="160">
        <f t="shared" si="90"/>
        <v>307.5</v>
      </c>
      <c r="M524" s="136">
        <f t="shared" si="90"/>
        <v>315</v>
      </c>
      <c r="N524" s="124"/>
      <c r="O524" s="125"/>
    </row>
    <row r="525" spans="2:15" s="123" customFormat="1" ht="31.5">
      <c r="B525" s="126" t="s">
        <v>374</v>
      </c>
      <c r="C525" s="121" t="s">
        <v>121</v>
      </c>
      <c r="D525" s="121" t="s">
        <v>123</v>
      </c>
      <c r="E525" s="121" t="s">
        <v>62</v>
      </c>
      <c r="F525" s="135" t="s">
        <v>373</v>
      </c>
      <c r="G525" s="135" t="s">
        <v>6</v>
      </c>
      <c r="H525" s="135" t="s">
        <v>201</v>
      </c>
      <c r="I525" s="135" t="s">
        <v>202</v>
      </c>
      <c r="J525" s="121"/>
      <c r="K525" s="160">
        <f t="shared" si="90"/>
        <v>300</v>
      </c>
      <c r="L525" s="160">
        <f t="shared" si="90"/>
        <v>307.5</v>
      </c>
      <c r="M525" s="136">
        <f t="shared" si="90"/>
        <v>315</v>
      </c>
      <c r="N525" s="124"/>
      <c r="O525" s="125"/>
    </row>
    <row r="526" spans="2:15" s="123" customFormat="1" ht="47.25">
      <c r="B526" s="126" t="s">
        <v>375</v>
      </c>
      <c r="C526" s="121" t="s">
        <v>121</v>
      </c>
      <c r="D526" s="121" t="s">
        <v>123</v>
      </c>
      <c r="E526" s="121" t="s">
        <v>62</v>
      </c>
      <c r="F526" s="135" t="s">
        <v>373</v>
      </c>
      <c r="G526" s="135" t="s">
        <v>6</v>
      </c>
      <c r="H526" s="135" t="s">
        <v>13</v>
      </c>
      <c r="I526" s="135" t="s">
        <v>202</v>
      </c>
      <c r="J526" s="121"/>
      <c r="K526" s="160">
        <f t="shared" si="90"/>
        <v>300</v>
      </c>
      <c r="L526" s="160">
        <f t="shared" si="90"/>
        <v>307.5</v>
      </c>
      <c r="M526" s="136">
        <f t="shared" si="90"/>
        <v>315</v>
      </c>
      <c r="N526" s="124"/>
      <c r="O526" s="125"/>
    </row>
    <row r="527" spans="2:15" s="123" customFormat="1">
      <c r="B527" s="162" t="s">
        <v>240</v>
      </c>
      <c r="C527" s="121" t="s">
        <v>121</v>
      </c>
      <c r="D527" s="121" t="s">
        <v>123</v>
      </c>
      <c r="E527" s="121" t="s">
        <v>62</v>
      </c>
      <c r="F527" s="135" t="s">
        <v>373</v>
      </c>
      <c r="G527" s="135" t="s">
        <v>6</v>
      </c>
      <c r="H527" s="135" t="s">
        <v>13</v>
      </c>
      <c r="I527" s="129" t="s">
        <v>241</v>
      </c>
      <c r="J527" s="121"/>
      <c r="K527" s="160">
        <f t="shared" si="90"/>
        <v>300</v>
      </c>
      <c r="L527" s="160">
        <f t="shared" si="90"/>
        <v>307.5</v>
      </c>
      <c r="M527" s="136">
        <f t="shared" si="90"/>
        <v>315</v>
      </c>
      <c r="N527" s="124"/>
      <c r="O527" s="125"/>
    </row>
    <row r="528" spans="2:15" s="123" customFormat="1" ht="47.25">
      <c r="B528" s="120" t="s">
        <v>206</v>
      </c>
      <c r="C528" s="121" t="s">
        <v>121</v>
      </c>
      <c r="D528" s="121" t="s">
        <v>123</v>
      </c>
      <c r="E528" s="121" t="s">
        <v>62</v>
      </c>
      <c r="F528" s="135" t="s">
        <v>373</v>
      </c>
      <c r="G528" s="135" t="s">
        <v>6</v>
      </c>
      <c r="H528" s="135" t="s">
        <v>13</v>
      </c>
      <c r="I528" s="129" t="s">
        <v>241</v>
      </c>
      <c r="J528" s="121" t="s">
        <v>22</v>
      </c>
      <c r="K528" s="160">
        <f t="shared" si="90"/>
        <v>300</v>
      </c>
      <c r="L528" s="160">
        <f t="shared" si="90"/>
        <v>307.5</v>
      </c>
      <c r="M528" s="136">
        <f t="shared" si="90"/>
        <v>315</v>
      </c>
      <c r="N528" s="124"/>
      <c r="O528" s="125"/>
    </row>
    <row r="529" spans="2:15" s="123" customFormat="1" ht="47.25">
      <c r="B529" s="120" t="s">
        <v>23</v>
      </c>
      <c r="C529" s="121" t="s">
        <v>121</v>
      </c>
      <c r="D529" s="121" t="s">
        <v>123</v>
      </c>
      <c r="E529" s="121" t="s">
        <v>62</v>
      </c>
      <c r="F529" s="135" t="s">
        <v>373</v>
      </c>
      <c r="G529" s="135" t="s">
        <v>6</v>
      </c>
      <c r="H529" s="135" t="s">
        <v>13</v>
      </c>
      <c r="I529" s="129" t="s">
        <v>241</v>
      </c>
      <c r="J529" s="121" t="s">
        <v>24</v>
      </c>
      <c r="K529" s="160">
        <f>300</f>
        <v>300</v>
      </c>
      <c r="L529" s="160">
        <f>300*102.5%</f>
        <v>307.5</v>
      </c>
      <c r="M529" s="136">
        <f>300*105%</f>
        <v>315</v>
      </c>
      <c r="N529" s="124"/>
      <c r="O529" s="125"/>
    </row>
    <row r="530" spans="2:15" s="123" customFormat="1" ht="31.5">
      <c r="B530" s="162" t="s">
        <v>198</v>
      </c>
      <c r="C530" s="121" t="s">
        <v>121</v>
      </c>
      <c r="D530" s="121" t="s">
        <v>123</v>
      </c>
      <c r="E530" s="121" t="s">
        <v>62</v>
      </c>
      <c r="F530" s="127" t="s">
        <v>199</v>
      </c>
      <c r="G530" s="127" t="s">
        <v>200</v>
      </c>
      <c r="H530" s="127" t="s">
        <v>201</v>
      </c>
      <c r="I530" s="127" t="s">
        <v>202</v>
      </c>
      <c r="J530" s="121"/>
      <c r="K530" s="160">
        <f>K531</f>
        <v>745</v>
      </c>
      <c r="L530" s="160">
        <f>L531</f>
        <v>763.625</v>
      </c>
      <c r="M530" s="136">
        <f>M531</f>
        <v>782.25</v>
      </c>
      <c r="N530" s="124"/>
      <c r="O530" s="125"/>
    </row>
    <row r="531" spans="2:15" s="123" customFormat="1" ht="47.25">
      <c r="B531" s="162" t="s">
        <v>230</v>
      </c>
      <c r="C531" s="121" t="s">
        <v>121</v>
      </c>
      <c r="D531" s="121" t="s">
        <v>123</v>
      </c>
      <c r="E531" s="121" t="s">
        <v>62</v>
      </c>
      <c r="F531" s="127" t="s">
        <v>199</v>
      </c>
      <c r="G531" s="127" t="s">
        <v>6</v>
      </c>
      <c r="H531" s="127" t="s">
        <v>201</v>
      </c>
      <c r="I531" s="127" t="s">
        <v>202</v>
      </c>
      <c r="J531" s="121"/>
      <c r="K531" s="160">
        <f>K532+K537</f>
        <v>745</v>
      </c>
      <c r="L531" s="160">
        <f>L532+L537</f>
        <v>763.625</v>
      </c>
      <c r="M531" s="136">
        <f>M532+M537</f>
        <v>782.25</v>
      </c>
      <c r="N531" s="124"/>
      <c r="O531" s="125"/>
    </row>
    <row r="532" spans="2:15" s="123" customFormat="1" ht="31.5">
      <c r="B532" s="162" t="s">
        <v>16</v>
      </c>
      <c r="C532" s="121" t="s">
        <v>121</v>
      </c>
      <c r="D532" s="121" t="s">
        <v>123</v>
      </c>
      <c r="E532" s="121" t="s">
        <v>62</v>
      </c>
      <c r="F532" s="127" t="s">
        <v>199</v>
      </c>
      <c r="G532" s="127" t="s">
        <v>6</v>
      </c>
      <c r="H532" s="127" t="s">
        <v>201</v>
      </c>
      <c r="I532" s="127" t="s">
        <v>205</v>
      </c>
      <c r="J532" s="121"/>
      <c r="K532" s="160">
        <f>K533+K535</f>
        <v>742</v>
      </c>
      <c r="L532" s="160">
        <f>L533+L535</f>
        <v>760.55</v>
      </c>
      <c r="M532" s="136">
        <f>M533+M535</f>
        <v>779.1</v>
      </c>
      <c r="N532" s="124"/>
      <c r="O532" s="125"/>
    </row>
    <row r="533" spans="2:15" s="123" customFormat="1" ht="94.5">
      <c r="B533" s="120" t="s">
        <v>17</v>
      </c>
      <c r="C533" s="121" t="s">
        <v>121</v>
      </c>
      <c r="D533" s="121" t="s">
        <v>123</v>
      </c>
      <c r="E533" s="121" t="s">
        <v>62</v>
      </c>
      <c r="F533" s="127" t="s">
        <v>199</v>
      </c>
      <c r="G533" s="127" t="s">
        <v>6</v>
      </c>
      <c r="H533" s="127" t="s">
        <v>201</v>
      </c>
      <c r="I533" s="127" t="s">
        <v>205</v>
      </c>
      <c r="J533" s="121" t="s">
        <v>18</v>
      </c>
      <c r="K533" s="160">
        <f>K534</f>
        <v>702</v>
      </c>
      <c r="L533" s="160">
        <f>L534</f>
        <v>719.55</v>
      </c>
      <c r="M533" s="136">
        <f>M534</f>
        <v>737.1</v>
      </c>
      <c r="N533" s="124"/>
      <c r="O533" s="125"/>
    </row>
    <row r="534" spans="2:15" s="123" customFormat="1" ht="31.5">
      <c r="B534" s="120" t="s">
        <v>19</v>
      </c>
      <c r="C534" s="121" t="s">
        <v>121</v>
      </c>
      <c r="D534" s="121" t="s">
        <v>123</v>
      </c>
      <c r="E534" s="121" t="s">
        <v>62</v>
      </c>
      <c r="F534" s="127" t="s">
        <v>199</v>
      </c>
      <c r="G534" s="127" t="s">
        <v>6</v>
      </c>
      <c r="H534" s="127" t="s">
        <v>201</v>
      </c>
      <c r="I534" s="127" t="s">
        <v>205</v>
      </c>
      <c r="J534" s="121" t="s">
        <v>20</v>
      </c>
      <c r="K534" s="160">
        <f>702</f>
        <v>702</v>
      </c>
      <c r="L534" s="160">
        <f>702*102.5%</f>
        <v>719.55</v>
      </c>
      <c r="M534" s="136">
        <f>702*105%</f>
        <v>737.1</v>
      </c>
      <c r="N534" s="124"/>
      <c r="O534" s="125"/>
    </row>
    <row r="535" spans="2:15" s="123" customFormat="1" ht="47.25">
      <c r="B535" s="120" t="s">
        <v>206</v>
      </c>
      <c r="C535" s="121" t="s">
        <v>121</v>
      </c>
      <c r="D535" s="121" t="s">
        <v>123</v>
      </c>
      <c r="E535" s="121" t="s">
        <v>62</v>
      </c>
      <c r="F535" s="127" t="s">
        <v>199</v>
      </c>
      <c r="G535" s="127" t="s">
        <v>6</v>
      </c>
      <c r="H535" s="127" t="s">
        <v>201</v>
      </c>
      <c r="I535" s="127" t="s">
        <v>205</v>
      </c>
      <c r="J535" s="121" t="s">
        <v>22</v>
      </c>
      <c r="K535" s="160">
        <f>K536</f>
        <v>40</v>
      </c>
      <c r="L535" s="160">
        <f>L536</f>
        <v>41</v>
      </c>
      <c r="M535" s="136">
        <f>M536</f>
        <v>42</v>
      </c>
      <c r="N535" s="124"/>
      <c r="O535" s="125"/>
    </row>
    <row r="536" spans="2:15" s="123" customFormat="1" ht="47.25">
      <c r="B536" s="120" t="s">
        <v>23</v>
      </c>
      <c r="C536" s="121" t="s">
        <v>121</v>
      </c>
      <c r="D536" s="121" t="s">
        <v>123</v>
      </c>
      <c r="E536" s="121" t="s">
        <v>62</v>
      </c>
      <c r="F536" s="127" t="s">
        <v>199</v>
      </c>
      <c r="G536" s="127" t="s">
        <v>6</v>
      </c>
      <c r="H536" s="127" t="s">
        <v>201</v>
      </c>
      <c r="I536" s="127" t="s">
        <v>205</v>
      </c>
      <c r="J536" s="121" t="s">
        <v>24</v>
      </c>
      <c r="K536" s="160">
        <f>40</f>
        <v>40</v>
      </c>
      <c r="L536" s="160">
        <f>40*102.5%</f>
        <v>41</v>
      </c>
      <c r="M536" s="136">
        <f>40*105%</f>
        <v>42</v>
      </c>
      <c r="N536" s="124"/>
      <c r="O536" s="125"/>
    </row>
    <row r="537" spans="2:15" s="123" customFormat="1" ht="47.25">
      <c r="B537" s="162" t="s">
        <v>207</v>
      </c>
      <c r="C537" s="121" t="s">
        <v>121</v>
      </c>
      <c r="D537" s="121" t="s">
        <v>123</v>
      </c>
      <c r="E537" s="121" t="s">
        <v>62</v>
      </c>
      <c r="F537" s="127" t="s">
        <v>199</v>
      </c>
      <c r="G537" s="127" t="s">
        <v>6</v>
      </c>
      <c r="H537" s="127" t="s">
        <v>201</v>
      </c>
      <c r="I537" s="127" t="s">
        <v>208</v>
      </c>
      <c r="J537" s="121"/>
      <c r="K537" s="160">
        <f t="shared" ref="K537:M538" si="91">K538</f>
        <v>3</v>
      </c>
      <c r="L537" s="160">
        <f t="shared" si="91"/>
        <v>3.0749999999999997</v>
      </c>
      <c r="M537" s="136">
        <f t="shared" si="91"/>
        <v>3.1500000000000004</v>
      </c>
      <c r="N537" s="124"/>
      <c r="O537" s="125"/>
    </row>
    <row r="538" spans="2:15" s="123" customFormat="1">
      <c r="B538" s="120" t="s">
        <v>25</v>
      </c>
      <c r="C538" s="121" t="s">
        <v>121</v>
      </c>
      <c r="D538" s="121" t="s">
        <v>123</v>
      </c>
      <c r="E538" s="121" t="s">
        <v>62</v>
      </c>
      <c r="F538" s="127" t="s">
        <v>199</v>
      </c>
      <c r="G538" s="127" t="s">
        <v>6</v>
      </c>
      <c r="H538" s="127" t="s">
        <v>201</v>
      </c>
      <c r="I538" s="127" t="s">
        <v>208</v>
      </c>
      <c r="J538" s="121" t="s">
        <v>26</v>
      </c>
      <c r="K538" s="160">
        <f t="shared" si="91"/>
        <v>3</v>
      </c>
      <c r="L538" s="160">
        <f t="shared" si="91"/>
        <v>3.0749999999999997</v>
      </c>
      <c r="M538" s="136">
        <f t="shared" si="91"/>
        <v>3.1500000000000004</v>
      </c>
      <c r="N538" s="124"/>
      <c r="O538" s="125"/>
    </row>
    <row r="539" spans="2:15" s="123" customFormat="1">
      <c r="B539" s="120" t="s">
        <v>27</v>
      </c>
      <c r="C539" s="121" t="s">
        <v>121</v>
      </c>
      <c r="D539" s="121" t="s">
        <v>123</v>
      </c>
      <c r="E539" s="121" t="s">
        <v>62</v>
      </c>
      <c r="F539" s="127" t="s">
        <v>199</v>
      </c>
      <c r="G539" s="127" t="s">
        <v>6</v>
      </c>
      <c r="H539" s="127" t="s">
        <v>201</v>
      </c>
      <c r="I539" s="127" t="s">
        <v>208</v>
      </c>
      <c r="J539" s="121" t="s">
        <v>28</v>
      </c>
      <c r="K539" s="160">
        <f>3</f>
        <v>3</v>
      </c>
      <c r="L539" s="160">
        <f>3*102.5%</f>
        <v>3.0749999999999997</v>
      </c>
      <c r="M539" s="136">
        <f>3*105%</f>
        <v>3.1500000000000004</v>
      </c>
      <c r="N539" s="124"/>
      <c r="O539" s="125"/>
    </row>
    <row r="540" spans="2:15" s="123" customFormat="1" ht="47.25">
      <c r="B540" s="162" t="s">
        <v>292</v>
      </c>
      <c r="C540" s="121" t="s">
        <v>121</v>
      </c>
      <c r="D540" s="121" t="s">
        <v>123</v>
      </c>
      <c r="E540" s="121" t="s">
        <v>62</v>
      </c>
      <c r="F540" s="127" t="s">
        <v>293</v>
      </c>
      <c r="G540" s="127" t="s">
        <v>200</v>
      </c>
      <c r="H540" s="127" t="s">
        <v>201</v>
      </c>
      <c r="I540" s="127" t="s">
        <v>202</v>
      </c>
      <c r="J540" s="121"/>
      <c r="K540" s="160">
        <f t="shared" ref="K540:M541" si="92">K541</f>
        <v>2059</v>
      </c>
      <c r="L540" s="160">
        <f t="shared" si="92"/>
        <v>2110.4749999999999</v>
      </c>
      <c r="M540" s="136">
        <f t="shared" si="92"/>
        <v>2161.9499999999998</v>
      </c>
      <c r="N540" s="124"/>
      <c r="O540" s="125"/>
    </row>
    <row r="541" spans="2:15" s="123" customFormat="1" ht="63">
      <c r="B541" s="162" t="s">
        <v>294</v>
      </c>
      <c r="C541" s="121" t="s">
        <v>121</v>
      </c>
      <c r="D541" s="121" t="s">
        <v>123</v>
      </c>
      <c r="E541" s="121" t="s">
        <v>62</v>
      </c>
      <c r="F541" s="127" t="s">
        <v>293</v>
      </c>
      <c r="G541" s="127" t="s">
        <v>212</v>
      </c>
      <c r="H541" s="127" t="s">
        <v>201</v>
      </c>
      <c r="I541" s="127" t="s">
        <v>202</v>
      </c>
      <c r="J541" s="121"/>
      <c r="K541" s="160">
        <f t="shared" si="92"/>
        <v>2059</v>
      </c>
      <c r="L541" s="160">
        <f t="shared" si="92"/>
        <v>2110.4749999999999</v>
      </c>
      <c r="M541" s="136">
        <f t="shared" si="92"/>
        <v>2161.9499999999998</v>
      </c>
      <c r="N541" s="124"/>
      <c r="O541" s="125"/>
    </row>
    <row r="542" spans="2:15" s="123" customFormat="1" ht="31.5">
      <c r="B542" s="162" t="s">
        <v>295</v>
      </c>
      <c r="C542" s="121" t="s">
        <v>121</v>
      </c>
      <c r="D542" s="121" t="s">
        <v>123</v>
      </c>
      <c r="E542" s="121" t="s">
        <v>62</v>
      </c>
      <c r="F542" s="127" t="s">
        <v>293</v>
      </c>
      <c r="G542" s="127" t="s">
        <v>212</v>
      </c>
      <c r="H542" s="127" t="s">
        <v>201</v>
      </c>
      <c r="I542" s="127" t="s">
        <v>296</v>
      </c>
      <c r="J542" s="121"/>
      <c r="K542" s="160">
        <f>K543+K545</f>
        <v>2059</v>
      </c>
      <c r="L542" s="160">
        <f>L543+L545</f>
        <v>2110.4749999999999</v>
      </c>
      <c r="M542" s="136">
        <f>M543+M545</f>
        <v>2161.9499999999998</v>
      </c>
      <c r="N542" s="124"/>
      <c r="O542" s="125"/>
    </row>
    <row r="543" spans="2:15" s="123" customFormat="1" ht="94.5">
      <c r="B543" s="120" t="s">
        <v>17</v>
      </c>
      <c r="C543" s="121" t="s">
        <v>121</v>
      </c>
      <c r="D543" s="121" t="s">
        <v>123</v>
      </c>
      <c r="E543" s="121" t="s">
        <v>62</v>
      </c>
      <c r="F543" s="127" t="s">
        <v>293</v>
      </c>
      <c r="G543" s="127" t="s">
        <v>212</v>
      </c>
      <c r="H543" s="127" t="s">
        <v>201</v>
      </c>
      <c r="I543" s="127" t="s">
        <v>296</v>
      </c>
      <c r="J543" s="121" t="s">
        <v>18</v>
      </c>
      <c r="K543" s="160">
        <f>K544</f>
        <v>1879</v>
      </c>
      <c r="L543" s="160">
        <f>L544</f>
        <v>1925.9749999999999</v>
      </c>
      <c r="M543" s="136">
        <f>M544</f>
        <v>1972.95</v>
      </c>
      <c r="N543" s="124"/>
      <c r="O543" s="125"/>
    </row>
    <row r="544" spans="2:15" s="123" customFormat="1" ht="31.5">
      <c r="B544" s="128" t="s">
        <v>102</v>
      </c>
      <c r="C544" s="121" t="s">
        <v>121</v>
      </c>
      <c r="D544" s="121" t="s">
        <v>123</v>
      </c>
      <c r="E544" s="121" t="s">
        <v>62</v>
      </c>
      <c r="F544" s="127" t="s">
        <v>293</v>
      </c>
      <c r="G544" s="127" t="s">
        <v>212</v>
      </c>
      <c r="H544" s="127" t="s">
        <v>201</v>
      </c>
      <c r="I544" s="127" t="s">
        <v>296</v>
      </c>
      <c r="J544" s="121" t="s">
        <v>103</v>
      </c>
      <c r="K544" s="160">
        <f>(1873+6)</f>
        <v>1879</v>
      </c>
      <c r="L544" s="160">
        <f>(1873+6)*102.5%</f>
        <v>1925.9749999999999</v>
      </c>
      <c r="M544" s="136">
        <f>(1873+6)*105%</f>
        <v>1972.95</v>
      </c>
      <c r="N544" s="124"/>
      <c r="O544" s="125"/>
    </row>
    <row r="545" spans="2:15" s="123" customFormat="1" ht="47.25">
      <c r="B545" s="120" t="s">
        <v>206</v>
      </c>
      <c r="C545" s="121" t="s">
        <v>121</v>
      </c>
      <c r="D545" s="121" t="s">
        <v>123</v>
      </c>
      <c r="E545" s="121" t="s">
        <v>62</v>
      </c>
      <c r="F545" s="127" t="s">
        <v>293</v>
      </c>
      <c r="G545" s="127" t="s">
        <v>212</v>
      </c>
      <c r="H545" s="127" t="s">
        <v>201</v>
      </c>
      <c r="I545" s="127" t="s">
        <v>296</v>
      </c>
      <c r="J545" s="121" t="s">
        <v>22</v>
      </c>
      <c r="K545" s="160">
        <f>K546</f>
        <v>180</v>
      </c>
      <c r="L545" s="160">
        <f>L546</f>
        <v>184.49999999999997</v>
      </c>
      <c r="M545" s="136">
        <f>M546</f>
        <v>189</v>
      </c>
      <c r="N545" s="124"/>
      <c r="O545" s="125"/>
    </row>
    <row r="546" spans="2:15" s="123" customFormat="1" ht="47.25">
      <c r="B546" s="120" t="s">
        <v>23</v>
      </c>
      <c r="C546" s="121" t="s">
        <v>121</v>
      </c>
      <c r="D546" s="121" t="s">
        <v>123</v>
      </c>
      <c r="E546" s="121" t="s">
        <v>62</v>
      </c>
      <c r="F546" s="127" t="s">
        <v>293</v>
      </c>
      <c r="G546" s="127" t="s">
        <v>212</v>
      </c>
      <c r="H546" s="127" t="s">
        <v>201</v>
      </c>
      <c r="I546" s="127" t="s">
        <v>296</v>
      </c>
      <c r="J546" s="121" t="s">
        <v>24</v>
      </c>
      <c r="K546" s="160">
        <f>180</f>
        <v>180</v>
      </c>
      <c r="L546" s="160">
        <f>180*102.5%</f>
        <v>184.49999999999997</v>
      </c>
      <c r="M546" s="136">
        <f>180*105%</f>
        <v>189</v>
      </c>
      <c r="N546" s="124"/>
      <c r="O546" s="125"/>
    </row>
    <row r="547" spans="2:15" s="123" customFormat="1" ht="31.5">
      <c r="B547" s="114" t="s">
        <v>128</v>
      </c>
      <c r="C547" s="115" t="s">
        <v>129</v>
      </c>
      <c r="D547" s="115"/>
      <c r="E547" s="115"/>
      <c r="F547" s="115"/>
      <c r="G547" s="115"/>
      <c r="H547" s="115"/>
      <c r="I547" s="115"/>
      <c r="J547" s="115"/>
      <c r="K547" s="157">
        <f t="shared" ref="K547:M551" si="93">K548</f>
        <v>580</v>
      </c>
      <c r="L547" s="157">
        <f t="shared" si="93"/>
        <v>594.49999999999989</v>
      </c>
      <c r="M547" s="116">
        <f t="shared" si="93"/>
        <v>609</v>
      </c>
      <c r="N547" s="124"/>
      <c r="O547" s="125"/>
    </row>
    <row r="548" spans="2:15" s="123" customFormat="1">
      <c r="B548" s="114" t="s">
        <v>130</v>
      </c>
      <c r="C548" s="115" t="s">
        <v>129</v>
      </c>
      <c r="D548" s="115" t="s">
        <v>30</v>
      </c>
      <c r="E548" s="115"/>
      <c r="F548" s="115"/>
      <c r="G548" s="115"/>
      <c r="H548" s="115"/>
      <c r="I548" s="115"/>
      <c r="J548" s="115"/>
      <c r="K548" s="157">
        <f t="shared" si="93"/>
        <v>580</v>
      </c>
      <c r="L548" s="157">
        <f t="shared" si="93"/>
        <v>594.49999999999989</v>
      </c>
      <c r="M548" s="116">
        <f t="shared" si="93"/>
        <v>609</v>
      </c>
      <c r="N548" s="124"/>
      <c r="O548" s="125"/>
    </row>
    <row r="549" spans="2:15" s="123" customFormat="1" ht="31.5">
      <c r="B549" s="114" t="s">
        <v>131</v>
      </c>
      <c r="C549" s="115" t="s">
        <v>129</v>
      </c>
      <c r="D549" s="115" t="s">
        <v>30</v>
      </c>
      <c r="E549" s="115" t="s">
        <v>67</v>
      </c>
      <c r="F549" s="115"/>
      <c r="G549" s="115"/>
      <c r="H549" s="115"/>
      <c r="I549" s="115"/>
      <c r="J549" s="115"/>
      <c r="K549" s="157">
        <f t="shared" si="93"/>
        <v>580</v>
      </c>
      <c r="L549" s="157">
        <f t="shared" si="93"/>
        <v>594.49999999999989</v>
      </c>
      <c r="M549" s="116">
        <f t="shared" si="93"/>
        <v>609</v>
      </c>
      <c r="N549" s="124"/>
      <c r="O549" s="125"/>
    </row>
    <row r="550" spans="2:15" s="123" customFormat="1" ht="31.5">
      <c r="B550" s="162" t="s">
        <v>198</v>
      </c>
      <c r="C550" s="121" t="s">
        <v>129</v>
      </c>
      <c r="D550" s="121" t="s">
        <v>30</v>
      </c>
      <c r="E550" s="121" t="s">
        <v>67</v>
      </c>
      <c r="F550" s="127" t="s">
        <v>199</v>
      </c>
      <c r="G550" s="127" t="s">
        <v>200</v>
      </c>
      <c r="H550" s="127" t="s">
        <v>201</v>
      </c>
      <c r="I550" s="127" t="s">
        <v>202</v>
      </c>
      <c r="J550" s="121"/>
      <c r="K550" s="158">
        <f t="shared" si="93"/>
        <v>580</v>
      </c>
      <c r="L550" s="158">
        <f t="shared" si="93"/>
        <v>594.49999999999989</v>
      </c>
      <c r="M550" s="122">
        <f t="shared" si="93"/>
        <v>609</v>
      </c>
      <c r="N550" s="124"/>
      <c r="O550" s="125"/>
    </row>
    <row r="551" spans="2:15" s="123" customFormat="1" ht="47.25">
      <c r="B551" s="162" t="s">
        <v>230</v>
      </c>
      <c r="C551" s="121" t="s">
        <v>129</v>
      </c>
      <c r="D551" s="121" t="s">
        <v>30</v>
      </c>
      <c r="E551" s="121" t="s">
        <v>67</v>
      </c>
      <c r="F551" s="127" t="s">
        <v>199</v>
      </c>
      <c r="G551" s="127" t="s">
        <v>6</v>
      </c>
      <c r="H551" s="127" t="s">
        <v>201</v>
      </c>
      <c r="I551" s="127" t="s">
        <v>202</v>
      </c>
      <c r="J551" s="121"/>
      <c r="K551" s="158">
        <f t="shared" si="93"/>
        <v>580</v>
      </c>
      <c r="L551" s="158">
        <f t="shared" si="93"/>
        <v>594.49999999999989</v>
      </c>
      <c r="M551" s="122">
        <f t="shared" si="93"/>
        <v>609</v>
      </c>
      <c r="N551" s="124"/>
      <c r="O551" s="125"/>
    </row>
    <row r="552" spans="2:15" s="123" customFormat="1" ht="31.5">
      <c r="B552" s="162" t="s">
        <v>16</v>
      </c>
      <c r="C552" s="121" t="s">
        <v>129</v>
      </c>
      <c r="D552" s="121" t="s">
        <v>30</v>
      </c>
      <c r="E552" s="121" t="s">
        <v>67</v>
      </c>
      <c r="F552" s="127" t="s">
        <v>199</v>
      </c>
      <c r="G552" s="127" t="s">
        <v>6</v>
      </c>
      <c r="H552" s="127" t="s">
        <v>201</v>
      </c>
      <c r="I552" s="127" t="s">
        <v>205</v>
      </c>
      <c r="J552" s="121"/>
      <c r="K552" s="158">
        <f>K553+K555</f>
        <v>580</v>
      </c>
      <c r="L552" s="158">
        <f>L553+L555</f>
        <v>594.49999999999989</v>
      </c>
      <c r="M552" s="122">
        <f>M553+M555</f>
        <v>609</v>
      </c>
      <c r="N552" s="124"/>
      <c r="O552" s="125"/>
    </row>
    <row r="553" spans="2:15" s="123" customFormat="1" ht="94.5">
      <c r="B553" s="120" t="s">
        <v>17</v>
      </c>
      <c r="C553" s="121" t="s">
        <v>129</v>
      </c>
      <c r="D553" s="121" t="s">
        <v>30</v>
      </c>
      <c r="E553" s="121" t="s">
        <v>67</v>
      </c>
      <c r="F553" s="127" t="s">
        <v>199</v>
      </c>
      <c r="G553" s="127" t="s">
        <v>6</v>
      </c>
      <c r="H553" s="127" t="s">
        <v>201</v>
      </c>
      <c r="I553" s="127" t="s">
        <v>205</v>
      </c>
      <c r="J553" s="121" t="s">
        <v>18</v>
      </c>
      <c r="K553" s="160">
        <f>K554</f>
        <v>578</v>
      </c>
      <c r="L553" s="160">
        <f>L554</f>
        <v>592.44999999999993</v>
      </c>
      <c r="M553" s="136">
        <f>M554</f>
        <v>606.9</v>
      </c>
      <c r="N553" s="124"/>
      <c r="O553" s="125"/>
    </row>
    <row r="554" spans="2:15" s="123" customFormat="1" ht="31.5">
      <c r="B554" s="120" t="s">
        <v>19</v>
      </c>
      <c r="C554" s="121" t="s">
        <v>129</v>
      </c>
      <c r="D554" s="121" t="s">
        <v>30</v>
      </c>
      <c r="E554" s="121" t="s">
        <v>67</v>
      </c>
      <c r="F554" s="127" t="s">
        <v>199</v>
      </c>
      <c r="G554" s="127" t="s">
        <v>6</v>
      </c>
      <c r="H554" s="127" t="s">
        <v>201</v>
      </c>
      <c r="I554" s="127" t="s">
        <v>205</v>
      </c>
      <c r="J554" s="121" t="s">
        <v>20</v>
      </c>
      <c r="K554" s="160">
        <f>578</f>
        <v>578</v>
      </c>
      <c r="L554" s="160">
        <f>578*102.5%</f>
        <v>592.44999999999993</v>
      </c>
      <c r="M554" s="136">
        <f>578*105%</f>
        <v>606.9</v>
      </c>
      <c r="N554" s="124"/>
      <c r="O554" s="125"/>
    </row>
    <row r="555" spans="2:15" s="123" customFormat="1" ht="47.25">
      <c r="B555" s="120" t="s">
        <v>206</v>
      </c>
      <c r="C555" s="121" t="s">
        <v>129</v>
      </c>
      <c r="D555" s="121" t="s">
        <v>30</v>
      </c>
      <c r="E555" s="121" t="s">
        <v>67</v>
      </c>
      <c r="F555" s="127" t="s">
        <v>199</v>
      </c>
      <c r="G555" s="127" t="s">
        <v>6</v>
      </c>
      <c r="H555" s="127" t="s">
        <v>201</v>
      </c>
      <c r="I555" s="127" t="s">
        <v>205</v>
      </c>
      <c r="J555" s="121" t="s">
        <v>22</v>
      </c>
      <c r="K555" s="160">
        <f>K556</f>
        <v>2</v>
      </c>
      <c r="L555" s="160">
        <f>L556</f>
        <v>2.0499999999999998</v>
      </c>
      <c r="M555" s="136">
        <f>M556</f>
        <v>2.1</v>
      </c>
      <c r="N555" s="124"/>
      <c r="O555" s="125"/>
    </row>
    <row r="556" spans="2:15" s="123" customFormat="1" ht="47.25">
      <c r="B556" s="120" t="s">
        <v>23</v>
      </c>
      <c r="C556" s="121" t="s">
        <v>129</v>
      </c>
      <c r="D556" s="121" t="s">
        <v>30</v>
      </c>
      <c r="E556" s="121" t="s">
        <v>67</v>
      </c>
      <c r="F556" s="127" t="s">
        <v>199</v>
      </c>
      <c r="G556" s="127" t="s">
        <v>6</v>
      </c>
      <c r="H556" s="127" t="s">
        <v>201</v>
      </c>
      <c r="I556" s="127" t="s">
        <v>205</v>
      </c>
      <c r="J556" s="121" t="s">
        <v>24</v>
      </c>
      <c r="K556" s="160">
        <f>2</f>
        <v>2</v>
      </c>
      <c r="L556" s="160">
        <f>2*102.5%</f>
        <v>2.0499999999999998</v>
      </c>
      <c r="M556" s="136">
        <f>2*105%</f>
        <v>2.1</v>
      </c>
      <c r="N556" s="124"/>
      <c r="O556" s="125"/>
    </row>
    <row r="557" spans="2:15" s="123" customFormat="1" ht="30" customHeight="1" thickBot="1">
      <c r="B557" s="142" t="s">
        <v>376</v>
      </c>
      <c r="C557" s="143"/>
      <c r="D557" s="143"/>
      <c r="E557" s="143"/>
      <c r="F557" s="143"/>
      <c r="G557" s="143"/>
      <c r="H557" s="143"/>
      <c r="I557" s="143"/>
      <c r="J557" s="143"/>
      <c r="K557" s="165">
        <f>K14+K66+K118+K126+K231+K244+K257+K267+K486+K547</f>
        <v>615135.04700000002</v>
      </c>
      <c r="L557" s="165">
        <f>L14+L66+L118+L126+L231+L244+L257+L267+L486+L547</f>
        <v>610500.35499999998</v>
      </c>
      <c r="M557" s="144">
        <f>M14+M66+M118+M126+M231+M244+M257+M267+M486+M547</f>
        <v>629911.21000000008</v>
      </c>
      <c r="N557" s="124"/>
      <c r="O557" s="125"/>
    </row>
    <row r="558" spans="2:15" s="147" customFormat="1">
      <c r="B558" s="145"/>
      <c r="C558" s="205"/>
      <c r="D558" s="205"/>
      <c r="E558" s="205"/>
      <c r="F558" s="205"/>
      <c r="G558" s="205"/>
      <c r="H558" s="205"/>
      <c r="I558" s="205"/>
      <c r="J558" s="205"/>
      <c r="K558" s="146"/>
      <c r="N558" s="148"/>
      <c r="O558" s="149"/>
    </row>
    <row r="559" spans="2:15" s="147" customFormat="1" ht="26.25" customHeight="1">
      <c r="B559" s="254" t="s">
        <v>400</v>
      </c>
      <c r="C559" s="254"/>
      <c r="D559" s="254"/>
      <c r="E559" s="254"/>
      <c r="F559" s="254"/>
      <c r="G559" s="254"/>
      <c r="H559" s="248" t="s">
        <v>381</v>
      </c>
      <c r="I559" s="248"/>
      <c r="J559" s="248"/>
      <c r="K559" s="217">
        <f>K193+K101</f>
        <v>10483.800000000001</v>
      </c>
      <c r="L559" s="217">
        <f>L193+L101</f>
        <v>10605</v>
      </c>
      <c r="M559" s="217">
        <f>M193+M101</f>
        <v>10780.7</v>
      </c>
      <c r="N559" s="218"/>
      <c r="O559" s="149"/>
    </row>
    <row r="560" spans="2:15" s="147" customFormat="1" ht="23.25" customHeight="1">
      <c r="B560" s="254"/>
      <c r="C560" s="254"/>
      <c r="D560" s="254"/>
      <c r="E560" s="254"/>
      <c r="F560" s="254"/>
      <c r="G560" s="254"/>
      <c r="H560" s="231" t="s">
        <v>382</v>
      </c>
      <c r="I560" s="231"/>
      <c r="J560" s="231"/>
      <c r="K560" s="222">
        <f>K27+K54+K79+K113+K142+K147+K152+K157+K162+K198+K221+K279+K282+K285+K298+K301+K304+K466+K471+K474+K483+K517+K520</f>
        <v>383105.74700000003</v>
      </c>
      <c r="L560" s="222">
        <f>L27+L54+L79+L113+L142+L147+L152+L157+L162+L198+L221+L279+L282+L285+L298+L301+L304+L466+L471+L474+L483+L517+L520</f>
        <v>392903.8000000001</v>
      </c>
      <c r="M560" s="222">
        <f>M27+M54+M79+M113+M142+M147+M152+M157+M162+M198+M221+M279+M282+M285+M298+M301+M304+M466+M471+M474+M483+M517+M520</f>
        <v>392903.8000000001</v>
      </c>
      <c r="N560" s="223"/>
      <c r="O560" s="149"/>
    </row>
    <row r="561" spans="2:15" s="147" customFormat="1" ht="15.75" customHeight="1">
      <c r="B561" s="145"/>
      <c r="C561" s="205"/>
      <c r="D561" s="205"/>
      <c r="E561" s="205"/>
      <c r="F561" s="205"/>
      <c r="G561" s="205"/>
      <c r="H561" s="231" t="s">
        <v>383</v>
      </c>
      <c r="I561" s="231"/>
      <c r="J561" s="231"/>
      <c r="K561" s="222">
        <f>K57+K60</f>
        <v>2895.3</v>
      </c>
      <c r="L561" s="222">
        <f>L57+L60</f>
        <v>2821.8</v>
      </c>
      <c r="M561" s="222">
        <f>M57+M60</f>
        <v>2821.8</v>
      </c>
      <c r="N561" s="223"/>
      <c r="O561" s="149"/>
    </row>
    <row r="562" spans="2:15" s="147" customFormat="1">
      <c r="B562" s="145"/>
      <c r="C562" s="205"/>
      <c r="D562" s="205"/>
      <c r="E562" s="205"/>
      <c r="F562" s="205"/>
      <c r="G562" s="205"/>
      <c r="H562" s="219"/>
      <c r="I562" s="219"/>
      <c r="J562" s="219"/>
      <c r="K562" s="222"/>
      <c r="L562" s="223"/>
      <c r="M562" s="223"/>
      <c r="N562" s="223"/>
      <c r="O562" s="149"/>
    </row>
    <row r="563" spans="2:15" s="147" customFormat="1">
      <c r="B563" s="145"/>
      <c r="C563" s="205"/>
      <c r="D563" s="205"/>
      <c r="E563" s="205"/>
      <c r="F563" s="205"/>
      <c r="G563" s="205"/>
      <c r="H563" s="219"/>
      <c r="I563" s="219"/>
      <c r="J563" s="219"/>
      <c r="K563" s="222">
        <f>K557-K559-K560-K561</f>
        <v>218650.19999999995</v>
      </c>
      <c r="L563" s="222">
        <f>L557-L559-L560-L561</f>
        <v>204169.75499999989</v>
      </c>
      <c r="M563" s="222">
        <f>M557-M559-M560-M561</f>
        <v>223404.91000000003</v>
      </c>
      <c r="N563" s="223"/>
      <c r="O563" s="149"/>
    </row>
    <row r="564" spans="2:15" s="147" customFormat="1">
      <c r="B564" s="145"/>
      <c r="C564" s="205"/>
      <c r="D564" s="205"/>
      <c r="E564" s="205"/>
      <c r="F564" s="205"/>
      <c r="G564" s="205"/>
      <c r="H564" s="219"/>
      <c r="I564" s="219"/>
      <c r="J564" s="219"/>
      <c r="K564" s="222"/>
      <c r="L564" s="223"/>
      <c r="M564" s="223"/>
      <c r="N564" s="223"/>
      <c r="O564" s="149"/>
    </row>
    <row r="565" spans="2:15">
      <c r="H565" s="220"/>
      <c r="I565" s="220"/>
      <c r="J565" s="220"/>
      <c r="K565" s="224"/>
      <c r="L565" s="225"/>
      <c r="M565" s="225"/>
      <c r="N565" s="225"/>
    </row>
    <row r="566" spans="2:15">
      <c r="K566" s="226"/>
      <c r="L566" s="150"/>
      <c r="M566" s="150"/>
      <c r="N566" s="227"/>
    </row>
  </sheetData>
  <mergeCells count="21">
    <mergeCell ref="B559:G560"/>
    <mergeCell ref="C5:J5"/>
    <mergeCell ref="F11:I12"/>
    <mergeCell ref="J11:J12"/>
    <mergeCell ref="K11:K12"/>
    <mergeCell ref="H559:J559"/>
    <mergeCell ref="B11:B12"/>
    <mergeCell ref="C11:C12"/>
    <mergeCell ref="D11:D12"/>
    <mergeCell ref="F13:I13"/>
    <mergeCell ref="E11:E12"/>
    <mergeCell ref="L11:M11"/>
    <mergeCell ref="L10:M10"/>
    <mergeCell ref="C2:J2"/>
    <mergeCell ref="C3:J3"/>
    <mergeCell ref="C4:J4"/>
    <mergeCell ref="B8:M8"/>
    <mergeCell ref="K2:M2"/>
    <mergeCell ref="K3:M3"/>
    <mergeCell ref="K4:M4"/>
    <mergeCell ref="K5:M5"/>
  </mergeCells>
  <phoneticPr fontId="0" type="noConversion"/>
  <pageMargins left="0.70866141732283472" right="0.70866141732283472" top="0.74803149606299213" bottom="0.74803149606299213" header="0.31496062992125984" footer="0.31496062992125984"/>
  <pageSetup paperSize="9" scale="69" fitToHeight="0" orientation="portrait" r:id="rId1"/>
</worksheet>
</file>

<file path=xl/worksheets/sheet2.xml><?xml version="1.0" encoding="utf-8"?>
<worksheet xmlns="http://schemas.openxmlformats.org/spreadsheetml/2006/main" xmlns:r="http://schemas.openxmlformats.org/officeDocument/2006/relationships">
  <sheetPr>
    <tabColor rgb="FFFFFF00"/>
    <pageSetUpPr fitToPage="1"/>
  </sheetPr>
  <dimension ref="B2:H38"/>
  <sheetViews>
    <sheetView topLeftCell="A31" workbookViewId="0">
      <selection activeCell="D40" sqref="D40"/>
    </sheetView>
  </sheetViews>
  <sheetFormatPr defaultRowHeight="16.5"/>
  <cols>
    <col min="1" max="1" width="2.42578125" style="8" customWidth="1"/>
    <col min="2" max="2" width="7.140625" style="8" customWidth="1"/>
    <col min="3" max="3" width="41" style="8" customWidth="1"/>
    <col min="4" max="4" width="15.28515625" style="8" customWidth="1"/>
    <col min="5" max="5" width="13.85546875" style="8" customWidth="1"/>
    <col min="6" max="6" width="14.5703125" style="8" customWidth="1"/>
    <col min="7" max="7" width="10.28515625" style="9" bestFit="1" customWidth="1"/>
    <col min="8" max="8" width="9.28515625" style="9" bestFit="1" customWidth="1"/>
    <col min="9" max="16384" width="9.140625" style="8"/>
  </cols>
  <sheetData>
    <row r="2" spans="2:8" s="6" customFormat="1" ht="16.5" customHeight="1">
      <c r="B2" s="187"/>
      <c r="D2" s="257" t="s">
        <v>133</v>
      </c>
      <c r="E2" s="257"/>
      <c r="F2" s="257"/>
      <c r="G2" s="7"/>
      <c r="H2" s="7"/>
    </row>
    <row r="3" spans="2:8" s="6" customFormat="1" ht="17.25" customHeight="1">
      <c r="B3" s="187"/>
      <c r="D3" s="257" t="s">
        <v>134</v>
      </c>
      <c r="E3" s="257"/>
      <c r="F3" s="257"/>
      <c r="G3" s="7"/>
      <c r="H3" s="7"/>
    </row>
    <row r="4" spans="2:8" s="6" customFormat="1" ht="17.25" customHeight="1">
      <c r="B4" s="187"/>
      <c r="D4" s="257" t="s">
        <v>0</v>
      </c>
      <c r="E4" s="257"/>
      <c r="F4" s="257"/>
      <c r="G4" s="7"/>
      <c r="H4" s="7"/>
    </row>
    <row r="5" spans="2:8" s="6" customFormat="1" ht="17.25" customHeight="1">
      <c r="B5" s="187"/>
      <c r="D5" s="257" t="s">
        <v>392</v>
      </c>
      <c r="E5" s="257"/>
      <c r="F5" s="257"/>
      <c r="G5" s="7"/>
      <c r="H5" s="7"/>
    </row>
    <row r="6" spans="2:8" s="6" customFormat="1">
      <c r="B6" s="187"/>
      <c r="G6" s="7"/>
      <c r="H6" s="7"/>
    </row>
    <row r="7" spans="2:8" s="6" customFormat="1">
      <c r="B7" s="187"/>
      <c r="G7" s="7"/>
      <c r="H7" s="7"/>
    </row>
    <row r="8" spans="2:8" ht="40.5" customHeight="1">
      <c r="B8" s="256" t="s">
        <v>387</v>
      </c>
      <c r="C8" s="256"/>
      <c r="D8" s="256"/>
      <c r="E8" s="256"/>
      <c r="F8" s="256"/>
    </row>
    <row r="10" spans="2:8" ht="33">
      <c r="F10" s="8" t="s">
        <v>1</v>
      </c>
    </row>
    <row r="11" spans="2:8" ht="24.75" customHeight="1">
      <c r="B11" s="258" t="s">
        <v>136</v>
      </c>
      <c r="C11" s="259" t="s">
        <v>2</v>
      </c>
      <c r="D11" s="259" t="s">
        <v>5</v>
      </c>
      <c r="E11" s="259" t="s">
        <v>137</v>
      </c>
      <c r="F11" s="259"/>
    </row>
    <row r="12" spans="2:8" ht="26.25" customHeight="1">
      <c r="B12" s="258"/>
      <c r="C12" s="259"/>
      <c r="D12" s="259"/>
      <c r="E12" s="105" t="s">
        <v>132</v>
      </c>
      <c r="F12" s="105" t="s">
        <v>378</v>
      </c>
    </row>
    <row r="13" spans="2:8">
      <c r="B13" s="52">
        <v>1</v>
      </c>
      <c r="C13" s="52">
        <v>2</v>
      </c>
      <c r="D13" s="52">
        <v>3</v>
      </c>
      <c r="E13" s="52">
        <v>4</v>
      </c>
      <c r="F13" s="52">
        <v>5</v>
      </c>
    </row>
    <row r="14" spans="2:8" ht="27" customHeight="1">
      <c r="B14" s="104" t="s">
        <v>138</v>
      </c>
      <c r="C14" s="10" t="s">
        <v>139</v>
      </c>
      <c r="D14" s="99">
        <f>D16+D20</f>
        <v>693058.2</v>
      </c>
      <c r="E14" s="99">
        <f>E16+E20</f>
        <v>705966.5</v>
      </c>
      <c r="F14" s="99">
        <f>F16+F20</f>
        <v>711890.4</v>
      </c>
      <c r="G14" s="11">
        <v>1.0249999999999999</v>
      </c>
      <c r="H14" s="12">
        <v>1.05</v>
      </c>
    </row>
    <row r="15" spans="2:8" ht="18" customHeight="1">
      <c r="B15" s="188"/>
      <c r="C15" s="8" t="s">
        <v>140</v>
      </c>
      <c r="D15" s="100"/>
      <c r="E15" s="100"/>
      <c r="F15" s="101"/>
    </row>
    <row r="16" spans="2:8" s="13" customFormat="1" ht="21.75" customHeight="1">
      <c r="B16" s="106"/>
      <c r="C16" s="13" t="s">
        <v>141</v>
      </c>
      <c r="D16" s="14">
        <f>87537.7+149404.6</f>
        <v>236942.3</v>
      </c>
      <c r="E16" s="14">
        <f>89725.8+153139.7</f>
        <v>242865.5</v>
      </c>
      <c r="F16" s="99">
        <f>91914.6+156874.8</f>
        <v>248789.4</v>
      </c>
      <c r="G16" s="50">
        <v>1.0249999999999999</v>
      </c>
      <c r="H16" s="51">
        <v>1.05</v>
      </c>
    </row>
    <row r="17" spans="2:8">
      <c r="B17" s="188"/>
      <c r="C17" s="8" t="s">
        <v>142</v>
      </c>
      <c r="D17" s="100"/>
      <c r="E17" s="100"/>
      <c r="F17" s="101"/>
      <c r="G17" s="11">
        <v>1.0249999999999999</v>
      </c>
      <c r="H17" s="12">
        <v>1.05</v>
      </c>
    </row>
    <row r="18" spans="2:8" s="27" customFormat="1" ht="33" customHeight="1">
      <c r="B18" s="189"/>
      <c r="C18" s="27" t="s">
        <v>143</v>
      </c>
      <c r="D18" s="36">
        <v>0</v>
      </c>
      <c r="E18" s="36">
        <f>D18*G18</f>
        <v>0</v>
      </c>
      <c r="F18" s="33">
        <f>D18*H18</f>
        <v>0</v>
      </c>
      <c r="G18" s="34">
        <v>1.0249999999999999</v>
      </c>
      <c r="H18" s="35">
        <v>1.05</v>
      </c>
    </row>
    <row r="19" spans="2:8">
      <c r="B19" s="188"/>
      <c r="D19" s="100"/>
      <c r="E19" s="100"/>
      <c r="F19" s="101"/>
      <c r="G19" s="11">
        <v>1.0249999999999999</v>
      </c>
      <c r="H19" s="12">
        <v>1.05</v>
      </c>
    </row>
    <row r="20" spans="2:8" s="13" customFormat="1" ht="18.75" customHeight="1">
      <c r="B20" s="106"/>
      <c r="C20" s="13" t="s">
        <v>144</v>
      </c>
      <c r="D20" s="14">
        <f>(465730.4-10574.5)+(6133.9-(2278.6+1702.8+1192.5))</f>
        <v>456115.9</v>
      </c>
      <c r="E20" s="14">
        <f>(472860.7-10695.7)+936</f>
        <v>463101</v>
      </c>
      <c r="F20" s="99">
        <f>(473036.4-10871.4)+936</f>
        <v>463101</v>
      </c>
      <c r="G20" s="50">
        <v>1.0249999999999999</v>
      </c>
      <c r="H20" s="51">
        <v>1.05</v>
      </c>
    </row>
    <row r="21" spans="2:8" ht="49.5" customHeight="1">
      <c r="B21" s="106" t="s">
        <v>145</v>
      </c>
      <c r="C21" s="13" t="s">
        <v>146</v>
      </c>
      <c r="D21" s="14">
        <f>(615135-2278.6-1702.8-1192.5)+(93671.6-10574.5)</f>
        <v>693058.2</v>
      </c>
      <c r="E21" s="14">
        <f ca="1">('Прил.3 Расх КВСР 2016-18'!L557-2349.5-1629.3-1192.5)+(95833.1-10695.7)</f>
        <v>690466.45499999996</v>
      </c>
      <c r="F21" s="99">
        <f ca="1">('Прил.3 Расх КВСР 2016-18'!M557-2349.5-1629.3-1192.5)+(98021.9-10871.4)</f>
        <v>711890.41</v>
      </c>
      <c r="G21" s="11">
        <v>1.0249999999999999</v>
      </c>
      <c r="H21" s="12">
        <v>1.05</v>
      </c>
    </row>
    <row r="22" spans="2:8" ht="47.25" customHeight="1">
      <c r="B22" s="106" t="s">
        <v>147</v>
      </c>
      <c r="C22" s="13" t="s">
        <v>148</v>
      </c>
      <c r="D22" s="14">
        <f>D14-D21</f>
        <v>0</v>
      </c>
      <c r="E22" s="14">
        <f>E14-E21</f>
        <v>15500.045000000042</v>
      </c>
      <c r="F22" s="14">
        <f>F14-F21</f>
        <v>-1.0000000009313226E-2</v>
      </c>
      <c r="G22" s="11">
        <v>1.0249999999999999</v>
      </c>
      <c r="H22" s="12">
        <v>1.05</v>
      </c>
    </row>
    <row r="23" spans="2:8" ht="80.25" customHeight="1">
      <c r="B23" s="106" t="s">
        <v>149</v>
      </c>
      <c r="C23" s="13" t="s">
        <v>150</v>
      </c>
      <c r="D23" s="14">
        <f>D25+D28+D32</f>
        <v>7500</v>
      </c>
      <c r="E23" s="14">
        <f>E25+E28</f>
        <v>-15500</v>
      </c>
      <c r="F23" s="14">
        <f>F25+F28</f>
        <v>0</v>
      </c>
      <c r="G23" s="11">
        <v>1.0249999999999999</v>
      </c>
      <c r="H23" s="12">
        <v>1.05</v>
      </c>
    </row>
    <row r="24" spans="2:8">
      <c r="B24" s="188"/>
      <c r="C24" s="8" t="s">
        <v>142</v>
      </c>
      <c r="D24" s="100"/>
      <c r="E24" s="100">
        <f>D24*G24</f>
        <v>0</v>
      </c>
      <c r="F24" s="101">
        <f>D24*H24</f>
        <v>0</v>
      </c>
      <c r="G24" s="11">
        <v>1.0249999999999999</v>
      </c>
      <c r="H24" s="12">
        <v>1.05</v>
      </c>
    </row>
    <row r="25" spans="2:8" s="13" customFormat="1" ht="20.25" customHeight="1">
      <c r="B25" s="106"/>
      <c r="C25" s="13" t="s">
        <v>151</v>
      </c>
      <c r="D25" s="14">
        <f>D26+D27</f>
        <v>7500</v>
      </c>
      <c r="E25" s="14">
        <f>E26+E27</f>
        <v>-15500</v>
      </c>
      <c r="F25" s="14">
        <f>F26+F27</f>
        <v>0</v>
      </c>
      <c r="G25" s="50">
        <v>1.0249999999999999</v>
      </c>
      <c r="H25" s="51">
        <v>1.05</v>
      </c>
    </row>
    <row r="26" spans="2:8" s="27" customFormat="1" ht="22.5" customHeight="1">
      <c r="C26" s="32" t="s">
        <v>152</v>
      </c>
      <c r="D26" s="36">
        <f>15500</f>
        <v>15500</v>
      </c>
      <c r="E26" s="36">
        <f>0</f>
        <v>0</v>
      </c>
      <c r="F26" s="33">
        <f>0</f>
        <v>0</v>
      </c>
      <c r="G26" s="34">
        <v>1.0249999999999999</v>
      </c>
      <c r="H26" s="35">
        <v>1.05</v>
      </c>
    </row>
    <row r="27" spans="2:8" s="27" customFormat="1" ht="21" customHeight="1">
      <c r="C27" s="32" t="s">
        <v>153</v>
      </c>
      <c r="D27" s="36">
        <f>-8000</f>
        <v>-8000</v>
      </c>
      <c r="E27" s="36">
        <f>-15500</f>
        <v>-15500</v>
      </c>
      <c r="F27" s="33">
        <f>0</f>
        <v>0</v>
      </c>
      <c r="G27" s="34">
        <v>1.0249999999999999</v>
      </c>
      <c r="H27" s="35">
        <v>1.05</v>
      </c>
    </row>
    <row r="28" spans="2:8" s="13" customFormat="1" ht="50.25" customHeight="1">
      <c r="C28" s="13" t="s">
        <v>154</v>
      </c>
      <c r="D28" s="14">
        <f>D29+D30</f>
        <v>0</v>
      </c>
      <c r="E28" s="14">
        <f>E29+E30</f>
        <v>0</v>
      </c>
      <c r="F28" s="14">
        <f>F29+F30</f>
        <v>0</v>
      </c>
      <c r="G28" s="50">
        <v>1.0249999999999999</v>
      </c>
      <c r="H28" s="51">
        <v>1.05</v>
      </c>
    </row>
    <row r="29" spans="2:8" s="27" customFormat="1" ht="18.75" customHeight="1">
      <c r="C29" s="27" t="s">
        <v>152</v>
      </c>
      <c r="D29" s="95">
        <f>0</f>
        <v>0</v>
      </c>
      <c r="E29" s="95">
        <f>D29*G29</f>
        <v>0</v>
      </c>
      <c r="F29" s="96">
        <f>0</f>
        <v>0</v>
      </c>
      <c r="G29" s="34">
        <v>1.0249999999999999</v>
      </c>
      <c r="H29" s="35">
        <v>1.05</v>
      </c>
    </row>
    <row r="30" spans="2:8" s="27" customFormat="1" ht="19.5" customHeight="1">
      <c r="C30" s="27" t="s">
        <v>153</v>
      </c>
      <c r="D30" s="95">
        <f>0</f>
        <v>0</v>
      </c>
      <c r="E30" s="95">
        <f>0</f>
        <v>0</v>
      </c>
      <c r="F30" s="96">
        <f>0</f>
        <v>0</v>
      </c>
      <c r="G30" s="37">
        <v>1.0249999999999999</v>
      </c>
      <c r="H30" s="38">
        <v>1.05</v>
      </c>
    </row>
    <row r="31" spans="2:8" s="13" customFormat="1" ht="49.5" customHeight="1">
      <c r="C31" s="13" t="s">
        <v>175</v>
      </c>
      <c r="D31" s="97">
        <v>0</v>
      </c>
      <c r="E31" s="97">
        <v>0</v>
      </c>
      <c r="F31" s="98">
        <v>0</v>
      </c>
      <c r="G31" s="48"/>
      <c r="H31" s="49"/>
    </row>
    <row r="32" spans="2:8" s="13" customFormat="1" ht="30.75" customHeight="1">
      <c r="C32" s="13" t="s">
        <v>155</v>
      </c>
      <c r="D32" s="97">
        <v>0</v>
      </c>
      <c r="E32" s="97">
        <v>0</v>
      </c>
      <c r="F32" s="98">
        <v>0</v>
      </c>
      <c r="G32" s="48"/>
      <c r="H32" s="49"/>
    </row>
    <row r="33" spans="2:8" s="13" customFormat="1" ht="63.75" customHeight="1">
      <c r="B33" s="106" t="s">
        <v>156</v>
      </c>
      <c r="C33" s="13" t="s">
        <v>157</v>
      </c>
      <c r="D33" s="97">
        <f>(D14-D20)-82594.1</f>
        <v>154348.19999999992</v>
      </c>
      <c r="E33" s="97">
        <f>(E14-E20)-82594.1</f>
        <v>160271.4</v>
      </c>
      <c r="F33" s="97">
        <f>(F14-F20)-82594.1</f>
        <v>166195.30000000002</v>
      </c>
      <c r="G33" s="48">
        <v>1.0249999999999999</v>
      </c>
      <c r="H33" s="49">
        <v>1.05</v>
      </c>
    </row>
    <row r="34" spans="2:8">
      <c r="D34" s="53"/>
      <c r="E34" s="53"/>
      <c r="F34" s="54"/>
      <c r="G34" s="15"/>
      <c r="H34" s="16">
        <v>1.05</v>
      </c>
    </row>
    <row r="35" spans="2:8">
      <c r="G35" s="17"/>
      <c r="H35" s="17"/>
    </row>
    <row r="36" spans="2:8">
      <c r="C36" s="255" t="s">
        <v>393</v>
      </c>
      <c r="D36" s="255"/>
      <c r="E36" s="255"/>
      <c r="F36" s="255"/>
      <c r="G36" s="17"/>
      <c r="H36" s="17"/>
    </row>
    <row r="37" spans="2:8">
      <c r="C37" s="255"/>
      <c r="D37" s="255"/>
      <c r="E37" s="255"/>
      <c r="F37" s="255"/>
      <c r="G37" s="17"/>
      <c r="H37" s="17"/>
    </row>
    <row r="38" spans="2:8">
      <c r="D38" s="18"/>
      <c r="E38" s="18"/>
      <c r="F38" s="18"/>
      <c r="G38" s="17"/>
      <c r="H38" s="17"/>
    </row>
  </sheetData>
  <mergeCells count="10">
    <mergeCell ref="C36:F37"/>
    <mergeCell ref="B8:F8"/>
    <mergeCell ref="D2:F2"/>
    <mergeCell ref="D3:F3"/>
    <mergeCell ref="D4:F4"/>
    <mergeCell ref="D5:F5"/>
    <mergeCell ref="B11:B12"/>
    <mergeCell ref="C11:C12"/>
    <mergeCell ref="D11:D12"/>
    <mergeCell ref="E11:F11"/>
  </mergeCells>
  <phoneticPr fontId="0" type="noConversion"/>
  <pageMargins left="0.70866141732283472" right="0.70866141732283472" top="0.74803149606299213" bottom="0.74803149606299213" header="0.31496062992125984" footer="0.31496062992125984"/>
  <pageSetup paperSize="9" scale="76" fitToHeight="0" orientation="portrait" r:id="rId1"/>
</worksheet>
</file>

<file path=xl/worksheets/sheet3.xml><?xml version="1.0" encoding="utf-8"?>
<worksheet xmlns="http://schemas.openxmlformats.org/spreadsheetml/2006/main" xmlns:r="http://schemas.openxmlformats.org/officeDocument/2006/relationships">
  <sheetPr>
    <tabColor rgb="FFFFFF00"/>
    <pageSetUpPr fitToPage="1"/>
  </sheetPr>
  <dimension ref="B2:H418"/>
  <sheetViews>
    <sheetView workbookViewId="0">
      <selection activeCell="D11" sqref="D11:D12"/>
    </sheetView>
  </sheetViews>
  <sheetFormatPr defaultRowHeight="16.5"/>
  <cols>
    <col min="1" max="1" width="2.28515625" style="20" customWidth="1"/>
    <col min="2" max="2" width="7" style="20" customWidth="1"/>
    <col min="3" max="3" width="49.42578125" style="8" customWidth="1"/>
    <col min="4" max="4" width="14.7109375" style="20" customWidth="1"/>
    <col min="5" max="5" width="15.28515625" style="20" customWidth="1"/>
    <col min="6" max="6" width="16" style="20" customWidth="1"/>
    <col min="7" max="7" width="10.28515625" style="30" bestFit="1" customWidth="1"/>
    <col min="8" max="8" width="9.28515625" style="30" bestFit="1" customWidth="1"/>
    <col min="9" max="16384" width="9.140625" style="20"/>
  </cols>
  <sheetData>
    <row r="2" spans="2:8" s="6" customFormat="1">
      <c r="D2" s="257" t="s">
        <v>158</v>
      </c>
      <c r="E2" s="257"/>
      <c r="F2" s="257"/>
      <c r="G2" s="7"/>
      <c r="H2" s="7"/>
    </row>
    <row r="3" spans="2:8" s="6" customFormat="1">
      <c r="D3" s="257" t="s">
        <v>134</v>
      </c>
      <c r="E3" s="257"/>
      <c r="F3" s="257"/>
      <c r="G3" s="7"/>
      <c r="H3" s="7"/>
    </row>
    <row r="4" spans="2:8" s="6" customFormat="1">
      <c r="D4" s="257" t="s">
        <v>0</v>
      </c>
      <c r="E4" s="257"/>
      <c r="F4" s="257"/>
      <c r="G4" s="7"/>
      <c r="H4" s="7"/>
    </row>
    <row r="5" spans="2:8" s="6" customFormat="1">
      <c r="D5" s="257" t="s">
        <v>399</v>
      </c>
      <c r="E5" s="257"/>
      <c r="F5" s="257"/>
      <c r="G5" s="7"/>
      <c r="H5" s="7"/>
    </row>
    <row r="6" spans="2:8" s="6" customFormat="1">
      <c r="G6" s="7"/>
      <c r="H6" s="7"/>
    </row>
    <row r="8" spans="2:8" ht="40.5" customHeight="1">
      <c r="B8" s="256" t="s">
        <v>386</v>
      </c>
      <c r="C8" s="256"/>
      <c r="D8" s="256"/>
      <c r="E8" s="256"/>
      <c r="F8" s="256"/>
      <c r="G8" s="228"/>
      <c r="H8" s="228"/>
    </row>
    <row r="9" spans="2:8">
      <c r="B9" s="228"/>
      <c r="C9" s="8" t="s">
        <v>159</v>
      </c>
      <c r="D9" s="228"/>
      <c r="E9" s="228"/>
      <c r="F9" s="228"/>
      <c r="G9" s="228"/>
      <c r="H9" s="228"/>
    </row>
    <row r="10" spans="2:8">
      <c r="B10" s="228"/>
      <c r="C10" s="228"/>
      <c r="D10" s="228"/>
      <c r="E10" s="228"/>
      <c r="F10" s="20" t="s">
        <v>1</v>
      </c>
      <c r="G10" s="228"/>
      <c r="H10" s="228"/>
    </row>
    <row r="11" spans="2:8" s="45" customFormat="1" ht="26.25" customHeight="1">
      <c r="B11" s="260" t="s">
        <v>136</v>
      </c>
      <c r="C11" s="259" t="s">
        <v>2</v>
      </c>
      <c r="D11" s="260" t="s">
        <v>5</v>
      </c>
      <c r="E11" s="260" t="s">
        <v>137</v>
      </c>
      <c r="F11" s="260"/>
      <c r="G11" s="229"/>
      <c r="H11" s="229"/>
    </row>
    <row r="12" spans="2:8" s="45" customFormat="1">
      <c r="B12" s="260"/>
      <c r="C12" s="259"/>
      <c r="D12" s="260"/>
      <c r="E12" s="221" t="s">
        <v>132</v>
      </c>
      <c r="F12" s="221" t="s">
        <v>378</v>
      </c>
      <c r="G12" s="229"/>
      <c r="H12" s="229"/>
    </row>
    <row r="13" spans="2:8" s="45" customFormat="1">
      <c r="B13" s="230">
        <v>1</v>
      </c>
      <c r="C13" s="52">
        <v>2</v>
      </c>
      <c r="D13" s="230">
        <v>3</v>
      </c>
      <c r="E13" s="230">
        <v>4</v>
      </c>
      <c r="F13" s="230">
        <v>5</v>
      </c>
      <c r="G13" s="229"/>
      <c r="H13" s="229"/>
    </row>
    <row r="14" spans="2:8" ht="27.75" customHeight="1">
      <c r="B14" s="21" t="s">
        <v>138</v>
      </c>
      <c r="C14" s="10" t="s">
        <v>139</v>
      </c>
      <c r="D14" s="91">
        <f>D16+D19</f>
        <v>615135</v>
      </c>
      <c r="E14" s="91">
        <f>E16+E19</f>
        <v>626000.4</v>
      </c>
      <c r="F14" s="91">
        <f>F16+F19</f>
        <v>629911.19999999995</v>
      </c>
      <c r="G14" s="22">
        <v>1.0249999999999999</v>
      </c>
      <c r="H14" s="23">
        <v>1.05</v>
      </c>
    </row>
    <row r="15" spans="2:8" ht="17.25" customHeight="1">
      <c r="B15" s="24"/>
      <c r="C15" s="8" t="s">
        <v>160</v>
      </c>
      <c r="D15" s="87"/>
      <c r="E15" s="213"/>
      <c r="F15" s="213"/>
      <c r="G15" s="22">
        <v>1.0249999999999999</v>
      </c>
      <c r="H15" s="23">
        <v>1.05</v>
      </c>
    </row>
    <row r="16" spans="2:8" s="45" customFormat="1" ht="17.25" customHeight="1">
      <c r="B16" s="25"/>
      <c r="C16" s="13" t="s">
        <v>141</v>
      </c>
      <c r="D16" s="86">
        <f>149404.6</f>
        <v>149404.6</v>
      </c>
      <c r="E16" s="91">
        <f>153139.7</f>
        <v>153139.70000000001</v>
      </c>
      <c r="F16" s="91">
        <f>156874.8</f>
        <v>156874.79999999999</v>
      </c>
      <c r="G16" s="43">
        <v>1.0249999999999999</v>
      </c>
      <c r="H16" s="44">
        <v>1.05</v>
      </c>
    </row>
    <row r="17" spans="2:8">
      <c r="B17" s="24"/>
      <c r="C17" s="8" t="s">
        <v>142</v>
      </c>
      <c r="D17" s="87"/>
      <c r="E17" s="213"/>
      <c r="F17" s="213"/>
      <c r="G17" s="22">
        <v>1.0249999999999999</v>
      </c>
      <c r="H17" s="23">
        <v>1.05</v>
      </c>
    </row>
    <row r="18" spans="2:8" s="42" customFormat="1" ht="15.75" customHeight="1">
      <c r="B18" s="39"/>
      <c r="C18" s="27" t="s">
        <v>161</v>
      </c>
      <c r="D18" s="92">
        <v>0</v>
      </c>
      <c r="E18" s="93">
        <f>D18*G18</f>
        <v>0</v>
      </c>
      <c r="F18" s="93">
        <f>E18*G18</f>
        <v>0</v>
      </c>
      <c r="G18" s="40">
        <v>1.0249999999999999</v>
      </c>
      <c r="H18" s="41">
        <v>1.05</v>
      </c>
    </row>
    <row r="19" spans="2:8" s="45" customFormat="1" ht="30" customHeight="1">
      <c r="B19" s="25"/>
      <c r="C19" s="13" t="s">
        <v>144</v>
      </c>
      <c r="D19" s="86">
        <f>D21+D23+D27+D28</f>
        <v>465730.39999999997</v>
      </c>
      <c r="E19" s="86">
        <f>E21+E23+E27+E28</f>
        <v>472860.7</v>
      </c>
      <c r="F19" s="86">
        <f>F21+F23+F27+F28</f>
        <v>473036.39999999997</v>
      </c>
      <c r="G19" s="43">
        <v>1.0249999999999999</v>
      </c>
      <c r="H19" s="44">
        <v>1.05</v>
      </c>
    </row>
    <row r="20" spans="2:8" ht="18.75" customHeight="1">
      <c r="B20" s="24"/>
      <c r="C20" s="8" t="s">
        <v>160</v>
      </c>
      <c r="D20" s="87"/>
      <c r="E20" s="263"/>
      <c r="F20" s="263"/>
      <c r="G20" s="22">
        <v>1.0249999999999999</v>
      </c>
      <c r="H20" s="23">
        <v>1.05</v>
      </c>
    </row>
    <row r="21" spans="2:8" s="45" customFormat="1" ht="47.25" customHeight="1">
      <c r="B21" s="25"/>
      <c r="C21" s="13" t="s">
        <v>190</v>
      </c>
      <c r="D21" s="86">
        <f>72050.2</f>
        <v>72050.2</v>
      </c>
      <c r="E21" s="91">
        <f>69261.2</f>
        <v>69261.2</v>
      </c>
      <c r="F21" s="91">
        <f>69261.2</f>
        <v>69261.2</v>
      </c>
      <c r="G21" s="43"/>
      <c r="H21" s="44"/>
    </row>
    <row r="22" spans="2:8" s="42" customFormat="1" ht="36" customHeight="1">
      <c r="B22" s="39"/>
      <c r="C22" s="27" t="s">
        <v>162</v>
      </c>
      <c r="D22" s="92">
        <f>72050.2</f>
        <v>72050.2</v>
      </c>
      <c r="E22" s="93">
        <f>69261.2</f>
        <v>69261.2</v>
      </c>
      <c r="F22" s="93">
        <f>69261.2</f>
        <v>69261.2</v>
      </c>
      <c r="G22" s="40"/>
      <c r="H22" s="41"/>
    </row>
    <row r="23" spans="2:8" s="45" customFormat="1" ht="60.75" customHeight="1">
      <c r="B23" s="25"/>
      <c r="C23" s="13" t="s">
        <v>191</v>
      </c>
      <c r="D23" s="86">
        <f>365766.3</f>
        <v>365766.3</v>
      </c>
      <c r="E23" s="91">
        <f>379782.1</f>
        <v>379782.1</v>
      </c>
      <c r="F23" s="91">
        <f>379782.1</f>
        <v>379782.1</v>
      </c>
      <c r="G23" s="43"/>
      <c r="H23" s="44"/>
    </row>
    <row r="24" spans="2:8" ht="23.25" customHeight="1">
      <c r="B24" s="24"/>
      <c r="C24" s="8" t="s">
        <v>142</v>
      </c>
      <c r="D24" s="87"/>
      <c r="E24" s="213"/>
      <c r="F24" s="213"/>
      <c r="G24" s="22"/>
      <c r="H24" s="23"/>
    </row>
    <row r="25" spans="2:8" s="42" customFormat="1" ht="44.25" customHeight="1">
      <c r="B25" s="39"/>
      <c r="C25" s="27" t="s">
        <v>169</v>
      </c>
      <c r="D25" s="92">
        <f>2278.6</f>
        <v>2278.6</v>
      </c>
      <c r="E25" s="93">
        <f>2349.5</f>
        <v>2349.5</v>
      </c>
      <c r="F25" s="93">
        <f>2349.5</f>
        <v>2349.5</v>
      </c>
      <c r="G25" s="40">
        <v>1.0249999999999999</v>
      </c>
      <c r="H25" s="41">
        <v>1.05</v>
      </c>
    </row>
    <row r="26" spans="2:8" s="42" customFormat="1" ht="68.25" hidden="1" customHeight="1">
      <c r="B26" s="39"/>
      <c r="C26" s="27" t="s">
        <v>193</v>
      </c>
      <c r="D26" s="92">
        <f>0</f>
        <v>0</v>
      </c>
      <c r="E26" s="93">
        <f>0</f>
        <v>0</v>
      </c>
      <c r="F26" s="93">
        <f>0</f>
        <v>0</v>
      </c>
      <c r="G26" s="40"/>
      <c r="H26" s="41"/>
    </row>
    <row r="27" spans="2:8" s="45" customFormat="1" ht="59.25" customHeight="1">
      <c r="B27" s="25"/>
      <c r="C27" s="13" t="s">
        <v>192</v>
      </c>
      <c r="D27" s="86">
        <f>17245.8</f>
        <v>17245.8</v>
      </c>
      <c r="E27" s="91">
        <f>13102</f>
        <v>13102</v>
      </c>
      <c r="F27" s="91">
        <f>13102</f>
        <v>13102</v>
      </c>
      <c r="G27" s="43">
        <v>1.0249999999999999</v>
      </c>
      <c r="H27" s="44">
        <v>1.05</v>
      </c>
    </row>
    <row r="28" spans="2:8" s="45" customFormat="1" ht="41.25" customHeight="1">
      <c r="B28" s="25"/>
      <c r="C28" s="13" t="s">
        <v>57</v>
      </c>
      <c r="D28" s="86">
        <f>19.2+74.4+90.7+2600+7883.8</f>
        <v>10668.1</v>
      </c>
      <c r="E28" s="86">
        <f>19.7+90.7+2721.2+7883.8</f>
        <v>10715.4</v>
      </c>
      <c r="F28" s="86">
        <f>19.7+90.7+2896.9+7883.8</f>
        <v>10891.1</v>
      </c>
      <c r="G28" s="43"/>
      <c r="H28" s="44"/>
    </row>
    <row r="29" spans="2:8" ht="21.75" customHeight="1">
      <c r="B29" s="24"/>
      <c r="C29" s="8" t="s">
        <v>142</v>
      </c>
      <c r="D29" s="87"/>
      <c r="E29" s="213"/>
      <c r="F29" s="213"/>
      <c r="G29" s="22"/>
      <c r="H29" s="23"/>
    </row>
    <row r="30" spans="2:8" s="42" customFormat="1" ht="104.25" customHeight="1">
      <c r="B30" s="39"/>
      <c r="C30" s="27" t="s">
        <v>163</v>
      </c>
      <c r="D30" s="86">
        <f>90.7+2600+7883.8</f>
        <v>10574.5</v>
      </c>
      <c r="E30" s="86">
        <f>90.7+2721.2+7883.8</f>
        <v>10695.7</v>
      </c>
      <c r="F30" s="86">
        <f>90.7+2896.9+7883.8</f>
        <v>10871.4</v>
      </c>
      <c r="G30" s="40"/>
      <c r="H30" s="41"/>
    </row>
    <row r="31" spans="2:8" ht="39" customHeight="1">
      <c r="B31" s="25" t="s">
        <v>145</v>
      </c>
      <c r="C31" s="13" t="s">
        <v>146</v>
      </c>
      <c r="D31" s="86">
        <f>615135</f>
        <v>615135</v>
      </c>
      <c r="E31" s="91">
        <f ca="1">'Прил.3 Расх КВСР 2016-18'!L557</f>
        <v>610500.35499999998</v>
      </c>
      <c r="F31" s="91">
        <f ca="1">'Прил.3 Расх КВСР 2016-18'!M557</f>
        <v>629911.21000000008</v>
      </c>
      <c r="G31" s="22">
        <v>1.0249999999999999</v>
      </c>
      <c r="H31" s="23">
        <v>1.05</v>
      </c>
    </row>
    <row r="32" spans="2:8" ht="18" customHeight="1">
      <c r="B32" s="24"/>
      <c r="C32" s="8" t="s">
        <v>160</v>
      </c>
      <c r="D32" s="87"/>
      <c r="E32" s="213"/>
      <c r="F32" s="213"/>
      <c r="G32" s="22">
        <v>1.0249999999999999</v>
      </c>
      <c r="H32" s="23">
        <v>1.05</v>
      </c>
    </row>
    <row r="33" spans="2:8" s="45" customFormat="1" ht="50.25" customHeight="1">
      <c r="B33" s="25"/>
      <c r="C33" s="13" t="s">
        <v>170</v>
      </c>
      <c r="D33" s="86">
        <f>D35+D38+D39</f>
        <v>5173.8999999999996</v>
      </c>
      <c r="E33" s="86">
        <f>E35+E38+E39</f>
        <v>5171.3</v>
      </c>
      <c r="F33" s="86">
        <f>F35+F38+F39</f>
        <v>5171.3</v>
      </c>
      <c r="G33" s="43">
        <v>1.0249999999999999</v>
      </c>
      <c r="H33" s="44">
        <v>1.05</v>
      </c>
    </row>
    <row r="34" spans="2:8">
      <c r="B34" s="24"/>
      <c r="C34" s="8" t="s">
        <v>142</v>
      </c>
      <c r="D34" s="87"/>
      <c r="E34" s="87"/>
      <c r="F34" s="87"/>
      <c r="G34" s="22">
        <v>1.0249999999999999</v>
      </c>
      <c r="H34" s="23">
        <v>1.05</v>
      </c>
    </row>
    <row r="35" spans="2:8" s="45" customFormat="1" ht="66.75" customHeight="1">
      <c r="B35" s="25"/>
      <c r="C35" s="207" t="s">
        <v>176</v>
      </c>
      <c r="D35" s="86">
        <f>D36+D37</f>
        <v>3981.4</v>
      </c>
      <c r="E35" s="86">
        <f>E36+E37</f>
        <v>3978.8</v>
      </c>
      <c r="F35" s="86">
        <f>F36+F37</f>
        <v>3978.8</v>
      </c>
      <c r="G35" s="43">
        <v>1.0249999999999999</v>
      </c>
      <c r="H35" s="44">
        <v>1.05</v>
      </c>
    </row>
    <row r="36" spans="2:8" ht="33.75" customHeight="1">
      <c r="B36" s="24"/>
      <c r="C36" s="26" t="s">
        <v>164</v>
      </c>
      <c r="D36" s="92">
        <f>D25</f>
        <v>2278.6</v>
      </c>
      <c r="E36" s="92">
        <f>E25</f>
        <v>2349.5</v>
      </c>
      <c r="F36" s="92">
        <f>F25</f>
        <v>2349.5</v>
      </c>
      <c r="G36" s="22">
        <v>1.0249999999999999</v>
      </c>
      <c r="H36" s="23">
        <v>1.05</v>
      </c>
    </row>
    <row r="37" spans="2:8" ht="38.25" customHeight="1">
      <c r="B37" s="24"/>
      <c r="C37" s="26" t="s">
        <v>165</v>
      </c>
      <c r="D37" s="92">
        <f>0+484.2+0+191.9+338.1+182.4+506.2</f>
        <v>1702.8000000000002</v>
      </c>
      <c r="E37" s="92">
        <f>0+484.2+0+118.4+338.1+182.4+506.2</f>
        <v>1629.3000000000002</v>
      </c>
      <c r="F37" s="92">
        <f>0+484.2+0+118.4+338.1+182.4+506.2</f>
        <v>1629.3000000000002</v>
      </c>
      <c r="G37" s="22"/>
      <c r="H37" s="23"/>
    </row>
    <row r="38" spans="2:8" s="45" customFormat="1" ht="67.5" hidden="1" customHeight="1">
      <c r="B38" s="25"/>
      <c r="C38" s="13" t="s">
        <v>193</v>
      </c>
      <c r="D38" s="86"/>
      <c r="E38" s="86"/>
      <c r="F38" s="86"/>
      <c r="G38" s="43"/>
      <c r="H38" s="44"/>
    </row>
    <row r="39" spans="2:8" ht="52.5" customHeight="1">
      <c r="B39" s="24"/>
      <c r="C39" s="46" t="s">
        <v>171</v>
      </c>
      <c r="D39" s="86">
        <f>0+0+746.3+0+446.2+0+0</f>
        <v>1192.5</v>
      </c>
      <c r="E39" s="86">
        <f>0+0+746.3+0+446.2+0+0</f>
        <v>1192.5</v>
      </c>
      <c r="F39" s="86">
        <f>0+0+746.3+0+446.2+0+0</f>
        <v>1192.5</v>
      </c>
      <c r="G39" s="22">
        <v>1.0249999999999999</v>
      </c>
      <c r="H39" s="23"/>
    </row>
    <row r="40" spans="2:8" ht="8.25" customHeight="1">
      <c r="B40" s="24"/>
      <c r="C40" s="18"/>
      <c r="D40" s="87"/>
      <c r="E40" s="87"/>
      <c r="F40" s="87"/>
      <c r="G40" s="22">
        <v>1.0249999999999999</v>
      </c>
      <c r="H40" s="23">
        <v>1.05</v>
      </c>
    </row>
    <row r="41" spans="2:8" ht="26.25" customHeight="1">
      <c r="B41" s="25" t="s">
        <v>147</v>
      </c>
      <c r="C41" s="13" t="s">
        <v>148</v>
      </c>
      <c r="D41" s="86">
        <f>D14-D31</f>
        <v>0</v>
      </c>
      <c r="E41" s="86">
        <f>E14-E31</f>
        <v>15500.045000000042</v>
      </c>
      <c r="F41" s="86">
        <f>F14-F31</f>
        <v>-1.0000000125728548E-2</v>
      </c>
      <c r="G41" s="22">
        <v>1.0249999999999999</v>
      </c>
      <c r="H41" s="23">
        <v>1.05</v>
      </c>
    </row>
    <row r="42" spans="2:8" ht="50.25" customHeight="1">
      <c r="B42" s="25" t="s">
        <v>149</v>
      </c>
      <c r="C42" s="13" t="s">
        <v>166</v>
      </c>
      <c r="D42" s="86">
        <f>D44+D47+D50+D53+D54</f>
        <v>0</v>
      </c>
      <c r="E42" s="86">
        <f>E44+E47+E50+E53+E54</f>
        <v>-15500</v>
      </c>
      <c r="F42" s="86">
        <f>F44+F47+F50+F53+F54</f>
        <v>0</v>
      </c>
      <c r="G42" s="22">
        <v>1.0249999999999999</v>
      </c>
      <c r="H42" s="23">
        <v>1.05</v>
      </c>
    </row>
    <row r="43" spans="2:8">
      <c r="B43" s="24"/>
      <c r="C43" s="8" t="s">
        <v>142</v>
      </c>
      <c r="D43" s="87"/>
      <c r="E43" s="87"/>
      <c r="F43" s="87"/>
      <c r="G43" s="22">
        <v>1.0249999999999999</v>
      </c>
      <c r="H43" s="23">
        <v>1.05</v>
      </c>
    </row>
    <row r="44" spans="2:8" s="45" customFormat="1" ht="24" customHeight="1">
      <c r="B44" s="25"/>
      <c r="C44" s="13" t="s">
        <v>172</v>
      </c>
      <c r="D44" s="86">
        <f>D45+D46</f>
        <v>7500</v>
      </c>
      <c r="E44" s="86">
        <f>E45+E46</f>
        <v>-15500</v>
      </c>
      <c r="F44" s="86">
        <f>F45+F46</f>
        <v>0</v>
      </c>
      <c r="G44" s="43">
        <v>1.0249999999999999</v>
      </c>
      <c r="H44" s="44">
        <v>1.05</v>
      </c>
    </row>
    <row r="45" spans="2:8" ht="27.75" customHeight="1">
      <c r="B45" s="24"/>
      <c r="C45" s="27" t="s">
        <v>152</v>
      </c>
      <c r="D45" s="87">
        <f>15500</f>
        <v>15500</v>
      </c>
      <c r="E45" s="87">
        <v>0</v>
      </c>
      <c r="F45" s="87">
        <f>0</f>
        <v>0</v>
      </c>
      <c r="G45" s="22">
        <v>1.0249999999999999</v>
      </c>
      <c r="H45" s="23">
        <v>1.05</v>
      </c>
    </row>
    <row r="46" spans="2:8" ht="24" customHeight="1">
      <c r="B46" s="24"/>
      <c r="C46" s="27" t="s">
        <v>153</v>
      </c>
      <c r="D46" s="87">
        <f>-8000</f>
        <v>-8000</v>
      </c>
      <c r="E46" s="87">
        <v>-15500</v>
      </c>
      <c r="F46" s="87">
        <f>0</f>
        <v>0</v>
      </c>
      <c r="G46" s="22">
        <v>1.0249999999999999</v>
      </c>
      <c r="H46" s="23">
        <v>1.05</v>
      </c>
    </row>
    <row r="47" spans="2:8" s="45" customFormat="1" ht="56.25" customHeight="1">
      <c r="B47" s="25"/>
      <c r="C47" s="13" t="s">
        <v>173</v>
      </c>
      <c r="D47" s="89">
        <f>D48+D49</f>
        <v>-7500</v>
      </c>
      <c r="E47" s="89">
        <f>E48+E49</f>
        <v>0</v>
      </c>
      <c r="F47" s="89">
        <f>F48+F49</f>
        <v>0</v>
      </c>
      <c r="G47" s="43">
        <v>1.0249999999999999</v>
      </c>
      <c r="H47" s="44">
        <v>1.05</v>
      </c>
    </row>
    <row r="48" spans="2:8" ht="18" customHeight="1">
      <c r="B48" s="24"/>
      <c r="C48" s="27" t="s">
        <v>152</v>
      </c>
      <c r="D48" s="88">
        <v>0</v>
      </c>
      <c r="E48" s="88">
        <v>0</v>
      </c>
      <c r="F48" s="88">
        <v>0</v>
      </c>
      <c r="G48" s="22">
        <v>1.0249999999999999</v>
      </c>
      <c r="H48" s="23">
        <v>1.05</v>
      </c>
    </row>
    <row r="49" spans="2:8" ht="19.5" customHeight="1">
      <c r="B49" s="24"/>
      <c r="C49" s="27" t="s">
        <v>153</v>
      </c>
      <c r="D49" s="94">
        <f>-7500</f>
        <v>-7500</v>
      </c>
      <c r="E49" s="88">
        <f>0</f>
        <v>0</v>
      </c>
      <c r="F49" s="88">
        <v>0</v>
      </c>
      <c r="G49" s="22">
        <v>1.0249999999999999</v>
      </c>
      <c r="H49" s="23">
        <v>1.05</v>
      </c>
    </row>
    <row r="50" spans="2:8" s="45" customFormat="1" ht="31.5" customHeight="1">
      <c r="B50" s="25"/>
      <c r="C50" s="13" t="s">
        <v>174</v>
      </c>
      <c r="D50" s="89">
        <v>0</v>
      </c>
      <c r="E50" s="89">
        <v>0</v>
      </c>
      <c r="F50" s="89">
        <v>0</v>
      </c>
      <c r="G50" s="47">
        <v>1.0249999999999999</v>
      </c>
      <c r="H50" s="44">
        <v>1.05</v>
      </c>
    </row>
    <row r="51" spans="2:8" ht="18.75" customHeight="1">
      <c r="B51" s="24"/>
      <c r="C51" s="27" t="s">
        <v>167</v>
      </c>
      <c r="D51" s="88"/>
      <c r="E51" s="88"/>
      <c r="F51" s="88"/>
      <c r="G51" s="28">
        <v>1.0249999999999999</v>
      </c>
      <c r="H51" s="23">
        <v>1.05</v>
      </c>
    </row>
    <row r="52" spans="2:8" ht="21" customHeight="1">
      <c r="B52" s="24"/>
      <c r="C52" s="27" t="s">
        <v>168</v>
      </c>
      <c r="D52" s="88"/>
      <c r="E52" s="88"/>
      <c r="F52" s="88"/>
      <c r="G52" s="28">
        <v>1.0249999999999999</v>
      </c>
      <c r="H52" s="23">
        <v>1.05</v>
      </c>
    </row>
    <row r="53" spans="2:8" s="45" customFormat="1" ht="37.5" customHeight="1">
      <c r="B53" s="25"/>
      <c r="C53" s="13" t="s">
        <v>175</v>
      </c>
      <c r="D53" s="90"/>
      <c r="E53" s="90"/>
      <c r="F53" s="90"/>
      <c r="G53" s="47">
        <v>1.0249999999999999</v>
      </c>
      <c r="H53" s="44">
        <v>1.05</v>
      </c>
    </row>
    <row r="54" spans="2:8" s="45" customFormat="1" ht="32.25" customHeight="1">
      <c r="B54" s="25"/>
      <c r="C54" s="13" t="s">
        <v>155</v>
      </c>
      <c r="D54" s="90">
        <f>0</f>
        <v>0</v>
      </c>
      <c r="E54" s="90">
        <f>0</f>
        <v>0</v>
      </c>
      <c r="F54" s="90">
        <f>0</f>
        <v>0</v>
      </c>
      <c r="G54" s="47"/>
      <c r="H54" s="44"/>
    </row>
    <row r="55" spans="2:8" ht="8.25" customHeight="1">
      <c r="B55" s="24"/>
      <c r="D55" s="88"/>
      <c r="E55" s="88"/>
      <c r="F55" s="88"/>
      <c r="G55" s="28">
        <v>1.0249999999999999</v>
      </c>
      <c r="H55" s="23">
        <v>1.05</v>
      </c>
    </row>
    <row r="56" spans="2:8" s="45" customFormat="1" ht="37.5" customHeight="1">
      <c r="B56" s="25" t="s">
        <v>156</v>
      </c>
      <c r="C56" s="13" t="s">
        <v>189</v>
      </c>
      <c r="D56" s="90">
        <f>(D14-D19)-82594.1</f>
        <v>66810.500000000029</v>
      </c>
      <c r="E56" s="90">
        <f>(E14-E19)-82594.1</f>
        <v>70545.600000000006</v>
      </c>
      <c r="F56" s="90">
        <f>(F14-F19)-82594.1</f>
        <v>74280.699999999983</v>
      </c>
      <c r="G56" s="47">
        <v>1.0249999999999999</v>
      </c>
      <c r="H56" s="44">
        <v>1.05</v>
      </c>
    </row>
    <row r="57" spans="2:8" ht="33.75" customHeight="1">
      <c r="B57" s="24"/>
      <c r="D57" s="55"/>
      <c r="E57" s="55"/>
      <c r="F57" s="55"/>
      <c r="G57" s="28">
        <v>1.0249999999999999</v>
      </c>
      <c r="H57" s="23">
        <v>1.05</v>
      </c>
    </row>
    <row r="58" spans="2:8">
      <c r="B58" s="24"/>
      <c r="C58" s="261" t="s">
        <v>394</v>
      </c>
      <c r="D58" s="262"/>
      <c r="E58" s="262"/>
      <c r="F58" s="55"/>
      <c r="H58" s="23">
        <v>1.05</v>
      </c>
    </row>
    <row r="59" spans="2:8">
      <c r="C59" s="262"/>
      <c r="D59" s="262"/>
      <c r="E59" s="262"/>
      <c r="F59" s="29"/>
    </row>
    <row r="60" spans="2:8">
      <c r="C60" s="183"/>
      <c r="D60" s="184"/>
      <c r="E60" s="184"/>
      <c r="F60" s="29"/>
    </row>
    <row r="61" spans="2:8">
      <c r="C61" s="183"/>
      <c r="D61" s="184"/>
      <c r="E61" s="184"/>
      <c r="F61" s="29"/>
    </row>
    <row r="62" spans="2:8">
      <c r="C62" s="183"/>
      <c r="D62" s="180">
        <v>13102</v>
      </c>
      <c r="E62" s="184"/>
      <c r="F62" s="29"/>
    </row>
    <row r="63" spans="2:8">
      <c r="C63" s="183"/>
      <c r="D63" s="181">
        <v>19.7</v>
      </c>
      <c r="E63" s="186"/>
      <c r="F63" s="31"/>
    </row>
    <row r="64" spans="2:8">
      <c r="C64" s="183"/>
      <c r="D64" s="181"/>
      <c r="E64" s="186"/>
      <c r="F64" s="31"/>
    </row>
    <row r="65" spans="3:6">
      <c r="C65" s="183"/>
      <c r="D65" s="182">
        <v>100579.4</v>
      </c>
      <c r="E65" s="186"/>
      <c r="F65" s="31"/>
    </row>
    <row r="66" spans="3:6">
      <c r="C66" s="183"/>
      <c r="D66" s="182">
        <v>239368.7</v>
      </c>
      <c r="E66" s="186"/>
      <c r="F66" s="31"/>
    </row>
    <row r="67" spans="3:6">
      <c r="C67" s="183"/>
      <c r="D67" s="182">
        <v>11588.2</v>
      </c>
      <c r="E67" s="186"/>
      <c r="F67" s="31"/>
    </row>
    <row r="68" spans="3:6">
      <c r="C68" s="183"/>
      <c r="D68" s="182">
        <v>115.9</v>
      </c>
      <c r="E68" s="186"/>
      <c r="F68" s="31"/>
    </row>
    <row r="69" spans="3:6">
      <c r="C69" s="183"/>
      <c r="D69" s="182">
        <v>5098.5</v>
      </c>
      <c r="E69" s="186"/>
      <c r="F69" s="31"/>
    </row>
    <row r="70" spans="3:6">
      <c r="C70" s="183"/>
      <c r="D70" s="181">
        <v>650.6</v>
      </c>
      <c r="E70" s="186"/>
      <c r="F70" s="31"/>
    </row>
    <row r="71" spans="3:6">
      <c r="C71" s="183"/>
      <c r="D71" s="181">
        <v>410.3</v>
      </c>
      <c r="E71" s="186"/>
      <c r="F71" s="31"/>
    </row>
    <row r="72" spans="3:6">
      <c r="C72" s="183"/>
      <c r="D72" s="182">
        <v>3183.9</v>
      </c>
      <c r="E72" s="186"/>
      <c r="F72" s="31"/>
    </row>
    <row r="73" spans="3:6">
      <c r="C73" s="183"/>
      <c r="D73" s="181">
        <v>283.3</v>
      </c>
      <c r="E73" s="186"/>
      <c r="F73" s="31"/>
    </row>
    <row r="74" spans="3:6">
      <c r="C74" s="183"/>
      <c r="D74" s="181">
        <v>640.5</v>
      </c>
      <c r="E74" s="186"/>
      <c r="F74" s="31"/>
    </row>
    <row r="75" spans="3:6">
      <c r="C75" s="183"/>
      <c r="D75" s="181">
        <v>441.5</v>
      </c>
      <c r="E75" s="186"/>
      <c r="F75" s="31"/>
    </row>
    <row r="76" spans="3:6">
      <c r="C76" s="183"/>
      <c r="D76" s="181">
        <v>905.1</v>
      </c>
      <c r="E76" s="186"/>
      <c r="F76" s="31"/>
    </row>
    <row r="77" spans="3:6">
      <c r="C77" s="183"/>
      <c r="D77" s="181">
        <v>224</v>
      </c>
      <c r="E77" s="186"/>
      <c r="F77" s="31"/>
    </row>
    <row r="78" spans="3:6">
      <c r="C78" s="183"/>
      <c r="D78" s="181">
        <v>236.1</v>
      </c>
      <c r="E78" s="186"/>
      <c r="F78" s="31"/>
    </row>
    <row r="79" spans="3:6">
      <c r="C79" s="183"/>
      <c r="D79" s="181">
        <v>224.2</v>
      </c>
      <c r="E79" s="186"/>
      <c r="F79" s="31"/>
    </row>
    <row r="80" spans="3:6">
      <c r="C80" s="183"/>
      <c r="D80" s="181">
        <v>12830.4</v>
      </c>
      <c r="E80" s="186"/>
      <c r="F80" s="31"/>
    </row>
    <row r="81" spans="3:6">
      <c r="C81" s="183"/>
      <c r="D81" s="181">
        <v>652</v>
      </c>
      <c r="E81" s="186"/>
      <c r="F81" s="31"/>
    </row>
    <row r="82" spans="3:6">
      <c r="C82" s="183"/>
      <c r="D82" s="181">
        <v>2349.5</v>
      </c>
      <c r="E82" s="186"/>
      <c r="F82" s="31"/>
    </row>
    <row r="83" spans="3:6">
      <c r="C83" s="183"/>
      <c r="D83" s="185"/>
      <c r="E83" s="186"/>
      <c r="F83" s="31"/>
    </row>
    <row r="84" spans="3:6">
      <c r="C84" s="183"/>
      <c r="D84" s="185"/>
      <c r="E84" s="186"/>
      <c r="F84" s="31"/>
    </row>
    <row r="85" spans="3:6">
      <c r="C85" s="183"/>
      <c r="D85" s="185"/>
      <c r="E85" s="186"/>
      <c r="F85" s="31"/>
    </row>
    <row r="86" spans="3:6">
      <c r="C86" s="183"/>
      <c r="D86" s="185"/>
      <c r="E86" s="186"/>
      <c r="F86" s="31"/>
    </row>
    <row r="87" spans="3:6">
      <c r="C87" s="183"/>
      <c r="D87" s="185"/>
      <c r="E87" s="186"/>
      <c r="F87" s="31"/>
    </row>
    <row r="88" spans="3:6">
      <c r="C88" s="183"/>
      <c r="D88" s="185"/>
      <c r="E88" s="186"/>
      <c r="F88" s="31"/>
    </row>
    <row r="89" spans="3:6">
      <c r="C89" s="183"/>
      <c r="D89" s="185"/>
      <c r="E89" s="186"/>
      <c r="F89" s="31"/>
    </row>
    <row r="90" spans="3:6">
      <c r="C90" s="183"/>
      <c r="D90" s="185"/>
      <c r="E90" s="186"/>
      <c r="F90" s="31"/>
    </row>
    <row r="91" spans="3:6">
      <c r="C91" s="183"/>
      <c r="D91" s="185"/>
      <c r="E91" s="186"/>
      <c r="F91" s="31"/>
    </row>
    <row r="92" spans="3:6">
      <c r="C92" s="183"/>
      <c r="D92" s="185"/>
      <c r="E92" s="186"/>
      <c r="F92" s="31"/>
    </row>
    <row r="93" spans="3:6">
      <c r="C93" s="183"/>
      <c r="D93" s="185"/>
      <c r="E93" s="186"/>
      <c r="F93" s="31"/>
    </row>
    <row r="94" spans="3:6">
      <c r="C94" s="183"/>
      <c r="D94" s="185"/>
      <c r="E94" s="186"/>
      <c r="F94" s="31"/>
    </row>
    <row r="95" spans="3:6">
      <c r="E95" s="31"/>
      <c r="F95" s="31"/>
    </row>
    <row r="96" spans="3:6">
      <c r="E96" s="31"/>
      <c r="F96" s="31"/>
    </row>
    <row r="97" spans="5:6">
      <c r="E97" s="31"/>
      <c r="F97" s="31"/>
    </row>
    <row r="98" spans="5:6">
      <c r="E98" s="31"/>
      <c r="F98" s="31"/>
    </row>
    <row r="99" spans="5:6">
      <c r="E99" s="31"/>
      <c r="F99" s="31"/>
    </row>
    <row r="100" spans="5:6">
      <c r="E100" s="31"/>
      <c r="F100" s="31"/>
    </row>
    <row r="101" spans="5:6">
      <c r="E101" s="31"/>
      <c r="F101" s="31"/>
    </row>
    <row r="102" spans="5:6">
      <c r="E102" s="31"/>
      <c r="F102" s="31"/>
    </row>
    <row r="103" spans="5:6">
      <c r="E103" s="31"/>
      <c r="F103" s="31"/>
    </row>
    <row r="104" spans="5:6">
      <c r="E104" s="31"/>
      <c r="F104" s="31"/>
    </row>
    <row r="105" spans="5:6">
      <c r="E105" s="31"/>
      <c r="F105" s="31"/>
    </row>
    <row r="106" spans="5:6">
      <c r="E106" s="31"/>
      <c r="F106" s="31"/>
    </row>
    <row r="107" spans="5:6">
      <c r="E107" s="31"/>
      <c r="F107" s="31"/>
    </row>
    <row r="108" spans="5:6">
      <c r="E108" s="31"/>
      <c r="F108" s="31"/>
    </row>
    <row r="109" spans="5:6">
      <c r="E109" s="31"/>
      <c r="F109" s="31"/>
    </row>
    <row r="110" spans="5:6">
      <c r="E110" s="31"/>
      <c r="F110" s="31"/>
    </row>
    <row r="111" spans="5:6">
      <c r="E111" s="31"/>
      <c r="F111" s="31"/>
    </row>
    <row r="112" spans="5:6">
      <c r="E112" s="31"/>
      <c r="F112" s="31"/>
    </row>
    <row r="113" spans="5:6">
      <c r="E113" s="31"/>
      <c r="F113" s="31"/>
    </row>
    <row r="114" spans="5:6">
      <c r="E114" s="31"/>
      <c r="F114" s="31"/>
    </row>
    <row r="115" spans="5:6">
      <c r="E115" s="31"/>
      <c r="F115" s="31"/>
    </row>
    <row r="116" spans="5:6">
      <c r="E116" s="31"/>
      <c r="F116" s="31"/>
    </row>
    <row r="117" spans="5:6">
      <c r="E117" s="31"/>
      <c r="F117" s="31"/>
    </row>
    <row r="118" spans="5:6">
      <c r="E118" s="31"/>
      <c r="F118" s="31"/>
    </row>
    <row r="119" spans="5:6">
      <c r="E119" s="31"/>
      <c r="F119" s="31"/>
    </row>
    <row r="120" spans="5:6">
      <c r="E120" s="31"/>
      <c r="F120" s="31"/>
    </row>
    <row r="121" spans="5:6">
      <c r="E121" s="31"/>
      <c r="F121" s="31"/>
    </row>
    <row r="122" spans="5:6">
      <c r="E122" s="31"/>
      <c r="F122" s="31"/>
    </row>
    <row r="123" spans="5:6">
      <c r="E123" s="31"/>
      <c r="F123" s="31"/>
    </row>
    <row r="124" spans="5:6">
      <c r="E124" s="31"/>
      <c r="F124" s="31"/>
    </row>
    <row r="125" spans="5:6">
      <c r="E125" s="31"/>
      <c r="F125" s="31"/>
    </row>
    <row r="126" spans="5:6">
      <c r="E126" s="31"/>
      <c r="F126" s="31"/>
    </row>
    <row r="127" spans="5:6">
      <c r="E127" s="31"/>
      <c r="F127" s="31"/>
    </row>
    <row r="128" spans="5:6">
      <c r="E128" s="31"/>
      <c r="F128" s="31"/>
    </row>
    <row r="129" spans="5:6">
      <c r="E129" s="31"/>
      <c r="F129" s="31"/>
    </row>
    <row r="130" spans="5:6">
      <c r="E130" s="31"/>
      <c r="F130" s="31"/>
    </row>
    <row r="131" spans="5:6">
      <c r="E131" s="31"/>
      <c r="F131" s="31"/>
    </row>
    <row r="132" spans="5:6">
      <c r="E132" s="31"/>
      <c r="F132" s="31"/>
    </row>
    <row r="133" spans="5:6">
      <c r="E133" s="31"/>
      <c r="F133" s="31"/>
    </row>
    <row r="134" spans="5:6">
      <c r="E134" s="31"/>
      <c r="F134" s="31"/>
    </row>
    <row r="135" spans="5:6">
      <c r="E135" s="31"/>
      <c r="F135" s="31"/>
    </row>
    <row r="136" spans="5:6">
      <c r="E136" s="31"/>
      <c r="F136" s="31"/>
    </row>
    <row r="137" spans="5:6">
      <c r="E137" s="31"/>
      <c r="F137" s="31"/>
    </row>
    <row r="138" spans="5:6">
      <c r="E138" s="31"/>
      <c r="F138" s="31"/>
    </row>
    <row r="139" spans="5:6">
      <c r="E139" s="31"/>
      <c r="F139" s="31"/>
    </row>
    <row r="140" spans="5:6">
      <c r="E140" s="31"/>
      <c r="F140" s="31"/>
    </row>
    <row r="141" spans="5:6">
      <c r="E141" s="31"/>
      <c r="F141" s="31"/>
    </row>
    <row r="142" spans="5:6">
      <c r="E142" s="31"/>
      <c r="F142" s="31"/>
    </row>
    <row r="143" spans="5:6">
      <c r="E143" s="31"/>
      <c r="F143" s="31"/>
    </row>
    <row r="144" spans="5:6">
      <c r="E144" s="31"/>
      <c r="F144" s="31"/>
    </row>
    <row r="145" spans="5:6">
      <c r="E145" s="31"/>
      <c r="F145" s="31"/>
    </row>
    <row r="146" spans="5:6">
      <c r="E146" s="31"/>
      <c r="F146" s="31"/>
    </row>
    <row r="147" spans="5:6">
      <c r="E147" s="31"/>
      <c r="F147" s="31"/>
    </row>
    <row r="148" spans="5:6">
      <c r="E148" s="31"/>
      <c r="F148" s="31"/>
    </row>
    <row r="149" spans="5:6">
      <c r="E149" s="31"/>
      <c r="F149" s="31"/>
    </row>
    <row r="150" spans="5:6">
      <c r="E150" s="31"/>
      <c r="F150" s="31"/>
    </row>
    <row r="151" spans="5:6">
      <c r="E151" s="31"/>
      <c r="F151" s="31"/>
    </row>
    <row r="152" spans="5:6">
      <c r="E152" s="31"/>
      <c r="F152" s="31"/>
    </row>
    <row r="153" spans="5:6">
      <c r="E153" s="31"/>
      <c r="F153" s="31"/>
    </row>
    <row r="154" spans="5:6">
      <c r="E154" s="31"/>
      <c r="F154" s="31"/>
    </row>
    <row r="155" spans="5:6">
      <c r="E155" s="31"/>
      <c r="F155" s="31"/>
    </row>
    <row r="156" spans="5:6">
      <c r="E156" s="31"/>
      <c r="F156" s="31"/>
    </row>
    <row r="157" spans="5:6">
      <c r="E157" s="31"/>
      <c r="F157" s="31"/>
    </row>
    <row r="158" spans="5:6">
      <c r="E158" s="31"/>
      <c r="F158" s="31"/>
    </row>
    <row r="159" spans="5:6">
      <c r="E159" s="31"/>
      <c r="F159" s="31"/>
    </row>
    <row r="160" spans="5:6">
      <c r="E160" s="31"/>
      <c r="F160" s="31"/>
    </row>
    <row r="161" spans="5:6">
      <c r="E161" s="31"/>
      <c r="F161" s="31"/>
    </row>
    <row r="162" spans="5:6">
      <c r="E162" s="31"/>
      <c r="F162" s="31"/>
    </row>
    <row r="163" spans="5:6">
      <c r="E163" s="31"/>
      <c r="F163" s="31"/>
    </row>
    <row r="164" spans="5:6">
      <c r="E164" s="31"/>
      <c r="F164" s="31"/>
    </row>
    <row r="165" spans="5:6">
      <c r="E165" s="31"/>
      <c r="F165" s="31"/>
    </row>
    <row r="166" spans="5:6">
      <c r="E166" s="31"/>
      <c r="F166" s="31"/>
    </row>
    <row r="167" spans="5:6">
      <c r="E167" s="31"/>
      <c r="F167" s="31"/>
    </row>
    <row r="168" spans="5:6">
      <c r="E168" s="31"/>
      <c r="F168" s="31"/>
    </row>
    <row r="169" spans="5:6">
      <c r="E169" s="31"/>
      <c r="F169" s="31"/>
    </row>
    <row r="170" spans="5:6">
      <c r="E170" s="31"/>
      <c r="F170" s="31"/>
    </row>
    <row r="171" spans="5:6">
      <c r="E171" s="31"/>
      <c r="F171" s="31"/>
    </row>
    <row r="172" spans="5:6">
      <c r="E172" s="31"/>
      <c r="F172" s="31"/>
    </row>
    <row r="173" spans="5:6">
      <c r="E173" s="31"/>
      <c r="F173" s="31"/>
    </row>
    <row r="174" spans="5:6">
      <c r="E174" s="31"/>
      <c r="F174" s="31"/>
    </row>
    <row r="175" spans="5:6">
      <c r="E175" s="31"/>
      <c r="F175" s="31"/>
    </row>
    <row r="176" spans="5:6">
      <c r="E176" s="31"/>
      <c r="F176" s="31"/>
    </row>
    <row r="177" spans="5:6">
      <c r="E177" s="31"/>
      <c r="F177" s="31"/>
    </row>
    <row r="178" spans="5:6">
      <c r="E178" s="31"/>
      <c r="F178" s="31"/>
    </row>
    <row r="179" spans="5:6">
      <c r="E179" s="31"/>
      <c r="F179" s="31"/>
    </row>
    <row r="180" spans="5:6">
      <c r="E180" s="31"/>
      <c r="F180" s="31"/>
    </row>
    <row r="181" spans="5:6">
      <c r="E181" s="31"/>
      <c r="F181" s="31"/>
    </row>
    <row r="182" spans="5:6">
      <c r="E182" s="31"/>
      <c r="F182" s="31"/>
    </row>
    <row r="183" spans="5:6">
      <c r="E183" s="31"/>
      <c r="F183" s="31"/>
    </row>
    <row r="184" spans="5:6">
      <c r="E184" s="31"/>
      <c r="F184" s="31"/>
    </row>
    <row r="185" spans="5:6">
      <c r="E185" s="31"/>
      <c r="F185" s="31"/>
    </row>
    <row r="186" spans="5:6">
      <c r="E186" s="31"/>
      <c r="F186" s="31"/>
    </row>
    <row r="187" spans="5:6">
      <c r="E187" s="31"/>
      <c r="F187" s="31"/>
    </row>
    <row r="188" spans="5:6">
      <c r="E188" s="31"/>
      <c r="F188" s="31"/>
    </row>
    <row r="189" spans="5:6">
      <c r="E189" s="31"/>
      <c r="F189" s="31"/>
    </row>
    <row r="190" spans="5:6">
      <c r="E190" s="31"/>
      <c r="F190" s="31"/>
    </row>
    <row r="191" spans="5:6">
      <c r="E191" s="31"/>
      <c r="F191" s="31"/>
    </row>
    <row r="192" spans="5:6">
      <c r="E192" s="31"/>
      <c r="F192" s="31"/>
    </row>
    <row r="193" spans="5:6">
      <c r="E193" s="31"/>
      <c r="F193" s="31"/>
    </row>
    <row r="194" spans="5:6">
      <c r="E194" s="31"/>
      <c r="F194" s="31"/>
    </row>
    <row r="195" spans="5:6">
      <c r="E195" s="31"/>
      <c r="F195" s="31"/>
    </row>
    <row r="196" spans="5:6">
      <c r="E196" s="31"/>
      <c r="F196" s="31"/>
    </row>
    <row r="197" spans="5:6">
      <c r="E197" s="31"/>
      <c r="F197" s="31"/>
    </row>
    <row r="198" spans="5:6">
      <c r="E198" s="31"/>
      <c r="F198" s="31"/>
    </row>
    <row r="199" spans="5:6">
      <c r="E199" s="31"/>
      <c r="F199" s="31"/>
    </row>
    <row r="200" spans="5:6">
      <c r="E200" s="31"/>
      <c r="F200" s="31"/>
    </row>
    <row r="201" spans="5:6">
      <c r="E201" s="31"/>
      <c r="F201" s="31"/>
    </row>
    <row r="202" spans="5:6">
      <c r="E202" s="31"/>
      <c r="F202" s="31"/>
    </row>
    <row r="203" spans="5:6">
      <c r="E203" s="31"/>
      <c r="F203" s="31"/>
    </row>
    <row r="204" spans="5:6">
      <c r="E204" s="31"/>
      <c r="F204" s="31"/>
    </row>
    <row r="205" spans="5:6">
      <c r="E205" s="31"/>
      <c r="F205" s="31"/>
    </row>
    <row r="206" spans="5:6">
      <c r="E206" s="31"/>
      <c r="F206" s="31"/>
    </row>
    <row r="207" spans="5:6">
      <c r="E207" s="31"/>
      <c r="F207" s="31"/>
    </row>
    <row r="208" spans="5:6">
      <c r="E208" s="31"/>
      <c r="F208" s="31"/>
    </row>
    <row r="209" spans="5:6">
      <c r="E209" s="31"/>
      <c r="F209" s="31"/>
    </row>
    <row r="210" spans="5:6">
      <c r="E210" s="31"/>
      <c r="F210" s="31"/>
    </row>
    <row r="211" spans="5:6">
      <c r="E211" s="31"/>
      <c r="F211" s="31"/>
    </row>
    <row r="212" spans="5:6">
      <c r="E212" s="31"/>
      <c r="F212" s="31"/>
    </row>
    <row r="213" spans="5:6">
      <c r="E213" s="31"/>
      <c r="F213" s="31"/>
    </row>
    <row r="214" spans="5:6">
      <c r="E214" s="31"/>
      <c r="F214" s="31"/>
    </row>
    <row r="215" spans="5:6">
      <c r="E215" s="31"/>
      <c r="F215" s="31"/>
    </row>
    <row r="216" spans="5:6">
      <c r="E216" s="31"/>
      <c r="F216" s="31"/>
    </row>
    <row r="217" spans="5:6">
      <c r="E217" s="31"/>
      <c r="F217" s="31"/>
    </row>
    <row r="218" spans="5:6">
      <c r="E218" s="31"/>
      <c r="F218" s="31"/>
    </row>
    <row r="219" spans="5:6">
      <c r="E219" s="31"/>
      <c r="F219" s="31"/>
    </row>
    <row r="220" spans="5:6">
      <c r="E220" s="31"/>
      <c r="F220" s="31"/>
    </row>
    <row r="221" spans="5:6">
      <c r="E221" s="31"/>
      <c r="F221" s="31"/>
    </row>
    <row r="222" spans="5:6">
      <c r="E222" s="31"/>
      <c r="F222" s="31"/>
    </row>
    <row r="223" spans="5:6">
      <c r="E223" s="31"/>
      <c r="F223" s="31"/>
    </row>
    <row r="224" spans="5:6">
      <c r="E224" s="31"/>
      <c r="F224" s="31"/>
    </row>
    <row r="225" spans="3:8">
      <c r="E225" s="31"/>
      <c r="F225" s="31"/>
    </row>
    <row r="226" spans="3:8">
      <c r="E226" s="31"/>
      <c r="F226" s="31"/>
    </row>
    <row r="227" spans="3:8">
      <c r="E227" s="31"/>
      <c r="F227" s="31"/>
    </row>
    <row r="228" spans="3:8">
      <c r="E228" s="31"/>
      <c r="F228" s="31"/>
    </row>
    <row r="229" spans="3:8">
      <c r="E229" s="31"/>
      <c r="F229" s="31"/>
    </row>
    <row r="230" spans="3:8">
      <c r="E230" s="31"/>
      <c r="F230" s="31"/>
    </row>
    <row r="231" spans="3:8">
      <c r="E231" s="31"/>
      <c r="F231" s="31"/>
    </row>
    <row r="232" spans="3:8">
      <c r="E232" s="31"/>
      <c r="F232" s="31"/>
    </row>
    <row r="233" spans="3:8">
      <c r="E233" s="31"/>
      <c r="F233" s="31"/>
    </row>
    <row r="234" spans="3:8">
      <c r="E234" s="31"/>
      <c r="F234" s="31"/>
    </row>
    <row r="235" spans="3:8">
      <c r="E235" s="31"/>
      <c r="F235" s="31"/>
    </row>
    <row r="236" spans="3:8">
      <c r="E236" s="31"/>
      <c r="F236" s="31"/>
    </row>
    <row r="237" spans="3:8">
      <c r="E237" s="31"/>
      <c r="F237" s="31"/>
    </row>
    <row r="238" spans="3:8">
      <c r="E238" s="31"/>
      <c r="F238" s="31"/>
    </row>
    <row r="239" spans="3:8">
      <c r="E239" s="31"/>
      <c r="F239" s="31"/>
    </row>
    <row r="240" spans="3:8">
      <c r="C240" s="228"/>
      <c r="D240" s="228"/>
      <c r="E240" s="31"/>
      <c r="F240" s="31"/>
      <c r="G240" s="228"/>
      <c r="H240" s="228"/>
    </row>
    <row r="241" spans="3:8">
      <c r="C241" s="228"/>
      <c r="D241" s="228"/>
      <c r="E241" s="31"/>
      <c r="F241" s="31"/>
      <c r="G241" s="228"/>
      <c r="H241" s="228"/>
    </row>
    <row r="242" spans="3:8">
      <c r="C242" s="228"/>
      <c r="D242" s="228"/>
      <c r="E242" s="31"/>
      <c r="F242" s="31"/>
      <c r="G242" s="228"/>
      <c r="H242" s="228"/>
    </row>
    <row r="243" spans="3:8">
      <c r="C243" s="228"/>
      <c r="D243" s="228"/>
      <c r="E243" s="31"/>
      <c r="F243" s="31"/>
      <c r="G243" s="228"/>
      <c r="H243" s="228"/>
    </row>
    <row r="244" spans="3:8">
      <c r="C244" s="228"/>
      <c r="D244" s="228"/>
      <c r="E244" s="31"/>
      <c r="F244" s="31"/>
      <c r="G244" s="228"/>
      <c r="H244" s="228"/>
    </row>
    <row r="245" spans="3:8">
      <c r="C245" s="228"/>
      <c r="D245" s="228"/>
      <c r="E245" s="31"/>
      <c r="F245" s="31"/>
      <c r="G245" s="228"/>
      <c r="H245" s="228"/>
    </row>
    <row r="246" spans="3:8">
      <c r="C246" s="228"/>
      <c r="D246" s="228"/>
      <c r="E246" s="31"/>
      <c r="F246" s="31"/>
      <c r="G246" s="228"/>
      <c r="H246" s="228"/>
    </row>
    <row r="247" spans="3:8">
      <c r="C247" s="228"/>
      <c r="D247" s="228"/>
      <c r="E247" s="31"/>
      <c r="F247" s="31"/>
      <c r="G247" s="228"/>
      <c r="H247" s="228"/>
    </row>
    <row r="248" spans="3:8">
      <c r="C248" s="228"/>
      <c r="D248" s="228"/>
      <c r="E248" s="31"/>
      <c r="F248" s="31"/>
      <c r="G248" s="228"/>
      <c r="H248" s="228"/>
    </row>
    <row r="249" spans="3:8">
      <c r="C249" s="228"/>
      <c r="D249" s="228"/>
      <c r="E249" s="31"/>
      <c r="F249" s="31"/>
      <c r="G249" s="228"/>
      <c r="H249" s="228"/>
    </row>
    <row r="250" spans="3:8">
      <c r="C250" s="228"/>
      <c r="D250" s="228"/>
      <c r="E250" s="31"/>
      <c r="F250" s="31"/>
      <c r="G250" s="228"/>
      <c r="H250" s="228"/>
    </row>
    <row r="251" spans="3:8">
      <c r="C251" s="228"/>
      <c r="D251" s="228"/>
      <c r="E251" s="31"/>
      <c r="F251" s="31"/>
      <c r="G251" s="228"/>
      <c r="H251" s="228"/>
    </row>
    <row r="252" spans="3:8">
      <c r="C252" s="228"/>
      <c r="D252" s="228"/>
      <c r="E252" s="31"/>
      <c r="F252" s="31"/>
      <c r="G252" s="228"/>
      <c r="H252" s="228"/>
    </row>
    <row r="253" spans="3:8">
      <c r="E253" s="31"/>
      <c r="F253" s="31"/>
    </row>
    <row r="254" spans="3:8">
      <c r="E254" s="31"/>
      <c r="F254" s="31"/>
    </row>
    <row r="255" spans="3:8">
      <c r="E255" s="31"/>
      <c r="F255" s="31"/>
    </row>
    <row r="256" spans="3:8">
      <c r="E256" s="31"/>
      <c r="F256" s="31"/>
    </row>
    <row r="257" spans="5:6">
      <c r="E257" s="31"/>
      <c r="F257" s="31"/>
    </row>
    <row r="258" spans="5:6">
      <c r="E258" s="31"/>
      <c r="F258" s="31"/>
    </row>
    <row r="259" spans="5:6">
      <c r="E259" s="31"/>
      <c r="F259" s="31"/>
    </row>
    <row r="260" spans="5:6">
      <c r="E260" s="31"/>
      <c r="F260" s="31"/>
    </row>
    <row r="261" spans="5:6">
      <c r="E261" s="31"/>
      <c r="F261" s="31"/>
    </row>
    <row r="262" spans="5:6">
      <c r="E262" s="31"/>
      <c r="F262" s="31"/>
    </row>
    <row r="263" spans="5:6">
      <c r="E263" s="31"/>
      <c r="F263" s="31"/>
    </row>
    <row r="264" spans="5:6">
      <c r="E264" s="31"/>
      <c r="F264" s="31"/>
    </row>
    <row r="265" spans="5:6">
      <c r="E265" s="31"/>
      <c r="F265" s="31"/>
    </row>
    <row r="266" spans="5:6">
      <c r="E266" s="31"/>
      <c r="F266" s="31"/>
    </row>
    <row r="267" spans="5:6">
      <c r="E267" s="31"/>
      <c r="F267" s="31"/>
    </row>
    <row r="268" spans="5:6">
      <c r="E268" s="31"/>
      <c r="F268" s="31"/>
    </row>
    <row r="269" spans="5:6">
      <c r="E269" s="31"/>
      <c r="F269" s="31"/>
    </row>
    <row r="270" spans="5:6">
      <c r="E270" s="31"/>
      <c r="F270" s="31"/>
    </row>
    <row r="271" spans="5:6">
      <c r="E271" s="31"/>
      <c r="F271" s="31"/>
    </row>
    <row r="272" spans="5:6">
      <c r="E272" s="31"/>
      <c r="F272" s="31"/>
    </row>
    <row r="273" spans="5:6">
      <c r="E273" s="31"/>
      <c r="F273" s="31"/>
    </row>
    <row r="274" spans="5:6">
      <c r="E274" s="31"/>
      <c r="F274" s="31"/>
    </row>
    <row r="275" spans="5:6">
      <c r="E275" s="31"/>
      <c r="F275" s="31"/>
    </row>
    <row r="276" spans="5:6">
      <c r="E276" s="31"/>
      <c r="F276" s="31"/>
    </row>
    <row r="277" spans="5:6">
      <c r="E277" s="31"/>
      <c r="F277" s="31"/>
    </row>
    <row r="278" spans="5:6">
      <c r="E278" s="31"/>
      <c r="F278" s="31"/>
    </row>
    <row r="279" spans="5:6">
      <c r="E279" s="31"/>
      <c r="F279" s="31"/>
    </row>
    <row r="280" spans="5:6">
      <c r="E280" s="31"/>
      <c r="F280" s="31"/>
    </row>
    <row r="281" spans="5:6">
      <c r="E281" s="31"/>
      <c r="F281" s="31"/>
    </row>
    <row r="282" spans="5:6">
      <c r="E282" s="31"/>
      <c r="F282" s="31"/>
    </row>
    <row r="283" spans="5:6">
      <c r="E283" s="31"/>
      <c r="F283" s="31"/>
    </row>
    <row r="284" spans="5:6">
      <c r="E284" s="31"/>
      <c r="F284" s="31"/>
    </row>
    <row r="285" spans="5:6">
      <c r="E285" s="31"/>
      <c r="F285" s="31"/>
    </row>
    <row r="286" spans="5:6">
      <c r="E286" s="31"/>
      <c r="F286" s="31"/>
    </row>
    <row r="287" spans="5:6">
      <c r="E287" s="31"/>
      <c r="F287" s="31"/>
    </row>
    <row r="288" spans="5:6">
      <c r="E288" s="31"/>
      <c r="F288" s="31"/>
    </row>
    <row r="289" spans="5:6">
      <c r="E289" s="31"/>
      <c r="F289" s="31"/>
    </row>
    <row r="290" spans="5:6">
      <c r="E290" s="31"/>
      <c r="F290" s="31"/>
    </row>
    <row r="291" spans="5:6">
      <c r="E291" s="31"/>
      <c r="F291" s="31"/>
    </row>
    <row r="292" spans="5:6">
      <c r="E292" s="31"/>
      <c r="F292" s="31"/>
    </row>
    <row r="293" spans="5:6">
      <c r="E293" s="31"/>
      <c r="F293" s="31"/>
    </row>
    <row r="294" spans="5:6">
      <c r="E294" s="31"/>
      <c r="F294" s="31"/>
    </row>
    <row r="295" spans="5:6">
      <c r="E295" s="31"/>
      <c r="F295" s="31"/>
    </row>
    <row r="296" spans="5:6">
      <c r="E296" s="31"/>
      <c r="F296" s="31"/>
    </row>
    <row r="297" spans="5:6">
      <c r="E297" s="31"/>
      <c r="F297" s="31"/>
    </row>
    <row r="298" spans="5:6">
      <c r="E298" s="31"/>
      <c r="F298" s="31"/>
    </row>
    <row r="299" spans="5:6">
      <c r="E299" s="31"/>
      <c r="F299" s="31"/>
    </row>
    <row r="300" spans="5:6">
      <c r="E300" s="31"/>
      <c r="F300" s="31"/>
    </row>
    <row r="301" spans="5:6">
      <c r="E301" s="31"/>
      <c r="F301" s="31"/>
    </row>
    <row r="302" spans="5:6">
      <c r="E302" s="31"/>
      <c r="F302" s="31"/>
    </row>
    <row r="303" spans="5:6">
      <c r="E303" s="31"/>
      <c r="F303" s="31"/>
    </row>
    <row r="304" spans="5:6">
      <c r="E304" s="31"/>
      <c r="F304" s="31"/>
    </row>
    <row r="305" spans="5:6">
      <c r="E305" s="31"/>
      <c r="F305" s="31"/>
    </row>
    <row r="306" spans="5:6">
      <c r="E306" s="31"/>
      <c r="F306" s="31"/>
    </row>
    <row r="307" spans="5:6">
      <c r="E307" s="31"/>
      <c r="F307" s="31"/>
    </row>
    <row r="308" spans="5:6">
      <c r="E308" s="31"/>
      <c r="F308" s="31"/>
    </row>
    <row r="309" spans="5:6">
      <c r="E309" s="31"/>
      <c r="F309" s="31"/>
    </row>
    <row r="310" spans="5:6">
      <c r="E310" s="31"/>
      <c r="F310" s="31"/>
    </row>
    <row r="311" spans="5:6">
      <c r="E311" s="31"/>
      <c r="F311" s="31"/>
    </row>
    <row r="312" spans="5:6">
      <c r="E312" s="31"/>
      <c r="F312" s="31"/>
    </row>
    <row r="313" spans="5:6">
      <c r="E313" s="31"/>
      <c r="F313" s="31"/>
    </row>
    <row r="314" spans="5:6">
      <c r="E314" s="31"/>
      <c r="F314" s="31"/>
    </row>
    <row r="315" spans="5:6">
      <c r="E315" s="31"/>
      <c r="F315" s="31"/>
    </row>
    <row r="316" spans="5:6">
      <c r="E316" s="31"/>
      <c r="F316" s="31"/>
    </row>
    <row r="317" spans="5:6">
      <c r="E317" s="31"/>
      <c r="F317" s="31"/>
    </row>
    <row r="318" spans="5:6">
      <c r="E318" s="31"/>
      <c r="F318" s="31"/>
    </row>
    <row r="319" spans="5:6">
      <c r="E319" s="31"/>
      <c r="F319" s="31"/>
    </row>
    <row r="320" spans="5:6">
      <c r="E320" s="31"/>
      <c r="F320" s="31"/>
    </row>
    <row r="321" spans="5:6">
      <c r="E321" s="31"/>
      <c r="F321" s="31"/>
    </row>
    <row r="322" spans="5:6">
      <c r="E322" s="31"/>
      <c r="F322" s="31"/>
    </row>
    <row r="323" spans="5:6">
      <c r="E323" s="31"/>
      <c r="F323" s="31"/>
    </row>
    <row r="324" spans="5:6">
      <c r="E324" s="31"/>
      <c r="F324" s="31"/>
    </row>
    <row r="325" spans="5:6">
      <c r="E325" s="31"/>
      <c r="F325" s="31"/>
    </row>
    <row r="326" spans="5:6">
      <c r="E326" s="31"/>
      <c r="F326" s="31"/>
    </row>
    <row r="327" spans="5:6">
      <c r="E327" s="31"/>
      <c r="F327" s="31"/>
    </row>
    <row r="328" spans="5:6">
      <c r="E328" s="31"/>
      <c r="F328" s="31"/>
    </row>
    <row r="329" spans="5:6">
      <c r="E329" s="31"/>
      <c r="F329" s="31"/>
    </row>
    <row r="330" spans="5:6">
      <c r="E330" s="31"/>
      <c r="F330" s="31"/>
    </row>
    <row r="331" spans="5:6">
      <c r="E331" s="31"/>
      <c r="F331" s="31"/>
    </row>
    <row r="332" spans="5:6">
      <c r="E332" s="31"/>
      <c r="F332" s="31"/>
    </row>
    <row r="333" spans="5:6">
      <c r="E333" s="31"/>
      <c r="F333" s="31"/>
    </row>
    <row r="334" spans="5:6">
      <c r="E334" s="31"/>
      <c r="F334" s="31"/>
    </row>
    <row r="335" spans="5:6">
      <c r="E335" s="31"/>
      <c r="F335" s="31"/>
    </row>
    <row r="336" spans="5:6">
      <c r="E336" s="31"/>
      <c r="F336" s="31"/>
    </row>
    <row r="337" spans="5:6">
      <c r="E337" s="31"/>
      <c r="F337" s="31"/>
    </row>
    <row r="338" spans="5:6">
      <c r="E338" s="31"/>
      <c r="F338" s="31"/>
    </row>
    <row r="339" spans="5:6">
      <c r="E339" s="31"/>
      <c r="F339" s="31"/>
    </row>
    <row r="340" spans="5:6">
      <c r="E340" s="31"/>
      <c r="F340" s="31"/>
    </row>
    <row r="341" spans="5:6">
      <c r="E341" s="31"/>
      <c r="F341" s="31"/>
    </row>
    <row r="342" spans="5:6">
      <c r="E342" s="31"/>
      <c r="F342" s="31"/>
    </row>
    <row r="343" spans="5:6">
      <c r="E343" s="31"/>
      <c r="F343" s="31"/>
    </row>
    <row r="344" spans="5:6">
      <c r="E344" s="31"/>
      <c r="F344" s="31"/>
    </row>
    <row r="345" spans="5:6">
      <c r="E345" s="31"/>
      <c r="F345" s="31"/>
    </row>
    <row r="346" spans="5:6">
      <c r="E346" s="31"/>
      <c r="F346" s="31"/>
    </row>
    <row r="347" spans="5:6">
      <c r="E347" s="31"/>
      <c r="F347" s="31"/>
    </row>
    <row r="348" spans="5:6">
      <c r="E348" s="31"/>
      <c r="F348" s="31"/>
    </row>
    <row r="349" spans="5:6">
      <c r="E349" s="31"/>
      <c r="F349" s="31"/>
    </row>
    <row r="350" spans="5:6">
      <c r="E350" s="31"/>
      <c r="F350" s="31"/>
    </row>
    <row r="351" spans="5:6">
      <c r="E351" s="31"/>
      <c r="F351" s="31"/>
    </row>
    <row r="352" spans="5:6">
      <c r="E352" s="31"/>
      <c r="F352" s="31"/>
    </row>
    <row r="353" spans="5:6">
      <c r="E353" s="31"/>
      <c r="F353" s="31"/>
    </row>
    <row r="354" spans="5:6">
      <c r="E354" s="31"/>
      <c r="F354" s="31"/>
    </row>
    <row r="355" spans="5:6">
      <c r="E355" s="31"/>
      <c r="F355" s="31"/>
    </row>
    <row r="356" spans="5:6">
      <c r="E356" s="31"/>
      <c r="F356" s="31"/>
    </row>
    <row r="357" spans="5:6">
      <c r="E357" s="31"/>
      <c r="F357" s="31"/>
    </row>
    <row r="358" spans="5:6">
      <c r="E358" s="31"/>
      <c r="F358" s="31"/>
    </row>
    <row r="359" spans="5:6">
      <c r="E359" s="31"/>
      <c r="F359" s="31"/>
    </row>
    <row r="360" spans="5:6">
      <c r="E360" s="31"/>
      <c r="F360" s="31"/>
    </row>
    <row r="361" spans="5:6">
      <c r="E361" s="31"/>
      <c r="F361" s="31"/>
    </row>
    <row r="362" spans="5:6">
      <c r="E362" s="31"/>
      <c r="F362" s="31"/>
    </row>
    <row r="363" spans="5:6">
      <c r="E363" s="31"/>
      <c r="F363" s="31"/>
    </row>
    <row r="364" spans="5:6">
      <c r="E364" s="31"/>
      <c r="F364" s="31"/>
    </row>
    <row r="365" spans="5:6">
      <c r="E365" s="31"/>
      <c r="F365" s="31"/>
    </row>
    <row r="366" spans="5:6">
      <c r="E366" s="31"/>
      <c r="F366" s="31"/>
    </row>
    <row r="367" spans="5:6">
      <c r="E367" s="31"/>
      <c r="F367" s="31"/>
    </row>
    <row r="368" spans="5:6">
      <c r="E368" s="31"/>
      <c r="F368" s="31"/>
    </row>
    <row r="369" spans="5:6">
      <c r="E369" s="31"/>
      <c r="F369" s="31"/>
    </row>
    <row r="370" spans="5:6">
      <c r="E370" s="31"/>
      <c r="F370" s="31"/>
    </row>
    <row r="371" spans="5:6">
      <c r="E371" s="31"/>
      <c r="F371" s="31"/>
    </row>
    <row r="372" spans="5:6">
      <c r="E372" s="31"/>
      <c r="F372" s="31"/>
    </row>
    <row r="373" spans="5:6">
      <c r="E373" s="31"/>
      <c r="F373" s="31"/>
    </row>
    <row r="374" spans="5:6">
      <c r="E374" s="31"/>
      <c r="F374" s="31"/>
    </row>
    <row r="375" spans="5:6">
      <c r="E375" s="31"/>
      <c r="F375" s="31"/>
    </row>
    <row r="376" spans="5:6">
      <c r="E376" s="31"/>
      <c r="F376" s="31"/>
    </row>
    <row r="377" spans="5:6">
      <c r="E377" s="31"/>
      <c r="F377" s="31"/>
    </row>
    <row r="378" spans="5:6">
      <c r="E378" s="31"/>
      <c r="F378" s="31"/>
    </row>
    <row r="379" spans="5:6">
      <c r="E379" s="31"/>
      <c r="F379" s="31"/>
    </row>
    <row r="380" spans="5:6">
      <c r="E380" s="31"/>
      <c r="F380" s="31"/>
    </row>
    <row r="381" spans="5:6">
      <c r="E381" s="31"/>
      <c r="F381" s="31"/>
    </row>
    <row r="382" spans="5:6">
      <c r="E382" s="31"/>
      <c r="F382" s="31"/>
    </row>
    <row r="383" spans="5:6">
      <c r="E383" s="31"/>
      <c r="F383" s="31"/>
    </row>
    <row r="384" spans="5:6">
      <c r="E384" s="31"/>
      <c r="F384" s="31"/>
    </row>
    <row r="385" spans="5:6">
      <c r="E385" s="31"/>
      <c r="F385" s="31"/>
    </row>
    <row r="386" spans="5:6">
      <c r="E386" s="31"/>
      <c r="F386" s="31"/>
    </row>
    <row r="387" spans="5:6">
      <c r="E387" s="31"/>
      <c r="F387" s="31"/>
    </row>
    <row r="388" spans="5:6">
      <c r="E388" s="31"/>
      <c r="F388" s="31"/>
    </row>
    <row r="389" spans="5:6">
      <c r="E389" s="31"/>
      <c r="F389" s="31"/>
    </row>
    <row r="390" spans="5:6">
      <c r="E390" s="31"/>
      <c r="F390" s="31"/>
    </row>
    <row r="391" spans="5:6">
      <c r="E391" s="31"/>
      <c r="F391" s="31"/>
    </row>
    <row r="392" spans="5:6">
      <c r="E392" s="31"/>
      <c r="F392" s="31"/>
    </row>
    <row r="393" spans="5:6">
      <c r="E393" s="31"/>
      <c r="F393" s="31"/>
    </row>
    <row r="394" spans="5:6">
      <c r="E394" s="31"/>
      <c r="F394" s="31"/>
    </row>
    <row r="395" spans="5:6">
      <c r="E395" s="31"/>
      <c r="F395" s="31"/>
    </row>
    <row r="396" spans="5:6">
      <c r="E396" s="31"/>
      <c r="F396" s="31"/>
    </row>
    <row r="397" spans="5:6">
      <c r="E397" s="31"/>
      <c r="F397" s="31"/>
    </row>
    <row r="398" spans="5:6">
      <c r="E398" s="31"/>
      <c r="F398" s="31"/>
    </row>
    <row r="399" spans="5:6">
      <c r="E399" s="31"/>
      <c r="F399" s="31"/>
    </row>
    <row r="400" spans="5:6">
      <c r="E400" s="31"/>
      <c r="F400" s="31"/>
    </row>
    <row r="401" spans="5:6">
      <c r="E401" s="31"/>
      <c r="F401" s="31"/>
    </row>
    <row r="402" spans="5:6">
      <c r="E402" s="31"/>
      <c r="F402" s="31"/>
    </row>
    <row r="403" spans="5:6">
      <c r="E403" s="31"/>
      <c r="F403" s="31"/>
    </row>
    <row r="404" spans="5:6">
      <c r="E404" s="31"/>
      <c r="F404" s="31"/>
    </row>
    <row r="405" spans="5:6">
      <c r="E405" s="31"/>
      <c r="F405" s="31"/>
    </row>
    <row r="406" spans="5:6">
      <c r="E406" s="31"/>
      <c r="F406" s="31"/>
    </row>
    <row r="407" spans="5:6">
      <c r="E407" s="31"/>
      <c r="F407" s="31"/>
    </row>
    <row r="408" spans="5:6">
      <c r="E408" s="31"/>
      <c r="F408" s="31"/>
    </row>
    <row r="409" spans="5:6">
      <c r="E409" s="31"/>
      <c r="F409" s="31"/>
    </row>
    <row r="410" spans="5:6">
      <c r="E410" s="31"/>
      <c r="F410" s="31"/>
    </row>
    <row r="411" spans="5:6">
      <c r="E411" s="31"/>
      <c r="F411" s="31"/>
    </row>
    <row r="412" spans="5:6">
      <c r="E412" s="31"/>
      <c r="F412" s="31"/>
    </row>
    <row r="413" spans="5:6">
      <c r="E413" s="31"/>
      <c r="F413" s="31"/>
    </row>
    <row r="414" spans="5:6">
      <c r="E414" s="31"/>
      <c r="F414" s="31"/>
    </row>
    <row r="415" spans="5:6">
      <c r="E415" s="31"/>
      <c r="F415" s="31"/>
    </row>
    <row r="416" spans="5:6">
      <c r="E416" s="31"/>
      <c r="F416" s="31"/>
    </row>
    <row r="417" spans="5:6">
      <c r="E417" s="31"/>
      <c r="F417" s="31"/>
    </row>
    <row r="418" spans="5:6">
      <c r="E418" s="31"/>
      <c r="F418" s="31"/>
    </row>
  </sheetData>
  <mergeCells count="11">
    <mergeCell ref="C11:C12"/>
    <mergeCell ref="D11:D12"/>
    <mergeCell ref="E11:F11"/>
    <mergeCell ref="C58:E59"/>
    <mergeCell ref="E20:F20"/>
    <mergeCell ref="D2:F2"/>
    <mergeCell ref="D3:F3"/>
    <mergeCell ref="D4:F4"/>
    <mergeCell ref="D5:F5"/>
    <mergeCell ref="B8:F8"/>
    <mergeCell ref="B11:B12"/>
  </mergeCells>
  <phoneticPr fontId="0" type="noConversion"/>
  <pageMargins left="0.70866141732283472" right="0.70866141732283472" top="0.74803149606299213" bottom="0.74803149606299213" header="0.31496062992125984" footer="0.31496062992125984"/>
  <pageSetup paperSize="9" scale="70" fitToHeight="0" orientation="portrait" r:id="rId1"/>
</worksheet>
</file>

<file path=xl/worksheets/sheet4.xml><?xml version="1.0" encoding="utf-8"?>
<worksheet xmlns="http://schemas.openxmlformats.org/spreadsheetml/2006/main" xmlns:r="http://schemas.openxmlformats.org/officeDocument/2006/relationships">
  <sheetPr>
    <tabColor rgb="FFFFFF00"/>
    <pageSetUpPr fitToPage="1"/>
  </sheetPr>
  <dimension ref="A2:F27"/>
  <sheetViews>
    <sheetView workbookViewId="0">
      <selection activeCell="C27" sqref="C27"/>
    </sheetView>
  </sheetViews>
  <sheetFormatPr defaultRowHeight="16.5"/>
  <cols>
    <col min="1" max="1" width="51" style="59" customWidth="1"/>
    <col min="2" max="2" width="14.42578125" style="59" customWidth="1"/>
    <col min="3" max="3" width="17.7109375" style="59" customWidth="1"/>
    <col min="4" max="4" width="16.5703125" style="59" customWidth="1"/>
    <col min="5" max="6" width="9.140625" style="60"/>
    <col min="7" max="16384" width="9.140625" style="59"/>
  </cols>
  <sheetData>
    <row r="2" spans="1:6">
      <c r="B2" s="265" t="s">
        <v>177</v>
      </c>
      <c r="C2" s="265"/>
      <c r="D2" s="265"/>
      <c r="E2" s="56"/>
    </row>
    <row r="3" spans="1:6">
      <c r="B3" s="265" t="s">
        <v>134</v>
      </c>
      <c r="C3" s="265"/>
      <c r="D3" s="265"/>
      <c r="E3" s="56"/>
    </row>
    <row r="4" spans="1:6">
      <c r="B4" s="265" t="s">
        <v>0</v>
      </c>
      <c r="C4" s="265"/>
      <c r="D4" s="265"/>
      <c r="E4" s="56"/>
    </row>
    <row r="5" spans="1:6">
      <c r="B5" s="265" t="s">
        <v>395</v>
      </c>
      <c r="C5" s="265"/>
      <c r="D5" s="265"/>
      <c r="E5" s="56"/>
    </row>
    <row r="6" spans="1:6">
      <c r="B6" s="57"/>
      <c r="C6" s="57"/>
      <c r="D6" s="57"/>
      <c r="E6" s="56"/>
    </row>
    <row r="8" spans="1:6" ht="60.75" customHeight="1">
      <c r="A8" s="264" t="s">
        <v>388</v>
      </c>
      <c r="B8" s="264"/>
      <c r="C8" s="264"/>
      <c r="D8" s="264"/>
    </row>
    <row r="9" spans="1:6">
      <c r="A9" s="108"/>
      <c r="B9" s="108"/>
      <c r="C9" s="61"/>
      <c r="D9" s="61"/>
    </row>
    <row r="10" spans="1:6" ht="25.5" customHeight="1">
      <c r="A10" s="61"/>
      <c r="B10" s="61"/>
      <c r="C10" s="61"/>
      <c r="D10" s="209" t="s">
        <v>135</v>
      </c>
    </row>
    <row r="11" spans="1:6" ht="23.25" customHeight="1">
      <c r="A11" s="266" t="s">
        <v>178</v>
      </c>
      <c r="B11" s="266" t="s">
        <v>5</v>
      </c>
      <c r="C11" s="267" t="s">
        <v>137</v>
      </c>
      <c r="D11" s="268"/>
    </row>
    <row r="12" spans="1:6" ht="22.5" customHeight="1">
      <c r="A12" s="266"/>
      <c r="B12" s="266"/>
      <c r="C12" s="197" t="s">
        <v>132</v>
      </c>
      <c r="D12" s="197" t="s">
        <v>378</v>
      </c>
    </row>
    <row r="13" spans="1:6">
      <c r="A13" s="107">
        <v>1</v>
      </c>
      <c r="B13" s="107">
        <v>2</v>
      </c>
      <c r="C13" s="62">
        <v>3</v>
      </c>
      <c r="D13" s="62">
        <v>4</v>
      </c>
    </row>
    <row r="14" spans="1:6" s="65" customFormat="1" ht="35.1" customHeight="1">
      <c r="A14" s="191" t="s">
        <v>188</v>
      </c>
      <c r="B14" s="192">
        <f>1618.7</f>
        <v>1618.7</v>
      </c>
      <c r="C14" s="193">
        <v>1670.3</v>
      </c>
      <c r="D14" s="193">
        <f>1670.3</f>
        <v>1670.3</v>
      </c>
      <c r="E14" s="63">
        <v>1.0249999999999999</v>
      </c>
      <c r="F14" s="64">
        <v>1.05</v>
      </c>
    </row>
    <row r="15" spans="1:6" s="65" customFormat="1" ht="35.1" customHeight="1">
      <c r="A15" s="191" t="s">
        <v>179</v>
      </c>
      <c r="B15" s="192">
        <f>110.5</f>
        <v>110.5</v>
      </c>
      <c r="C15" s="193">
        <f>114.5</f>
        <v>114.5</v>
      </c>
      <c r="D15" s="193">
        <f>114.5</f>
        <v>114.5</v>
      </c>
      <c r="E15" s="63">
        <v>1.0249999999999999</v>
      </c>
      <c r="F15" s="64">
        <v>1.05</v>
      </c>
    </row>
    <row r="16" spans="1:6" s="65" customFormat="1" ht="35.1" customHeight="1">
      <c r="A16" s="191" t="s">
        <v>180</v>
      </c>
      <c r="B16" s="192">
        <f>100.5</f>
        <v>100.5</v>
      </c>
      <c r="C16" s="193">
        <f>109.7</f>
        <v>109.7</v>
      </c>
      <c r="D16" s="193">
        <f>109.7</f>
        <v>109.7</v>
      </c>
      <c r="E16" s="63">
        <v>1.0249999999999999</v>
      </c>
      <c r="F16" s="64">
        <v>1.05</v>
      </c>
    </row>
    <row r="17" spans="1:6" s="65" customFormat="1" ht="35.1" customHeight="1">
      <c r="A17" s="191" t="s">
        <v>181</v>
      </c>
      <c r="B17" s="192">
        <f>93.6</f>
        <v>93.6</v>
      </c>
      <c r="C17" s="193">
        <f>95.6</f>
        <v>95.6</v>
      </c>
      <c r="D17" s="193">
        <f>95.6</f>
        <v>95.6</v>
      </c>
      <c r="E17" s="63">
        <v>1.0249999999999999</v>
      </c>
      <c r="F17" s="64">
        <v>1.05</v>
      </c>
    </row>
    <row r="18" spans="1:6" s="65" customFormat="1" ht="35.1" customHeight="1">
      <c r="A18" s="191" t="s">
        <v>182</v>
      </c>
      <c r="B18" s="192">
        <f>124</f>
        <v>124</v>
      </c>
      <c r="C18" s="193">
        <f>123.2</f>
        <v>123.2</v>
      </c>
      <c r="D18" s="193">
        <f>123.2</f>
        <v>123.2</v>
      </c>
      <c r="E18" s="63">
        <v>1.0249999999999999</v>
      </c>
      <c r="F18" s="64">
        <v>1.05</v>
      </c>
    </row>
    <row r="19" spans="1:6" s="65" customFormat="1" ht="35.1" customHeight="1">
      <c r="A19" s="191" t="s">
        <v>183</v>
      </c>
      <c r="B19" s="192">
        <f>120.3</f>
        <v>120.3</v>
      </c>
      <c r="C19" s="193">
        <f>124.7</f>
        <v>124.7</v>
      </c>
      <c r="D19" s="193">
        <f>124.7</f>
        <v>124.7</v>
      </c>
      <c r="E19" s="63">
        <v>1.0249999999999999</v>
      </c>
      <c r="F19" s="64">
        <v>1.05</v>
      </c>
    </row>
    <row r="20" spans="1:6" s="65" customFormat="1" ht="35.1" customHeight="1">
      <c r="A20" s="191" t="s">
        <v>184</v>
      </c>
      <c r="B20" s="192">
        <f>111</f>
        <v>111</v>
      </c>
      <c r="C20" s="193">
        <f>111.5</f>
        <v>111.5</v>
      </c>
      <c r="D20" s="193">
        <f>111.5</f>
        <v>111.5</v>
      </c>
      <c r="E20" s="63">
        <v>1.0249999999999999</v>
      </c>
      <c r="F20" s="64">
        <v>1.05</v>
      </c>
    </row>
    <row r="21" spans="1:6" s="67" customFormat="1" ht="35.1" customHeight="1">
      <c r="A21" s="190" t="s">
        <v>389</v>
      </c>
      <c r="B21" s="194">
        <f>B14+B15+B16+B17+B18+B19+B20</f>
        <v>2278.6</v>
      </c>
      <c r="C21" s="195">
        <f>C14+C15+C16+C17+C18+C19+C20</f>
        <v>2349.4999999999995</v>
      </c>
      <c r="D21" s="195">
        <f>D14+D15+D16+D17+D18+D19+D20</f>
        <v>2349.4999999999995</v>
      </c>
      <c r="E21" s="66"/>
      <c r="F21" s="66"/>
    </row>
    <row r="22" spans="1:6" s="65" customFormat="1">
      <c r="B22" s="68"/>
      <c r="C22" s="68"/>
      <c r="D22" s="68"/>
      <c r="E22" s="69"/>
      <c r="F22" s="69"/>
    </row>
    <row r="23" spans="1:6" s="65" customFormat="1">
      <c r="E23" s="69"/>
      <c r="F23" s="69"/>
    </row>
    <row r="24" spans="1:6" s="65" customFormat="1">
      <c r="A24" s="265" t="s">
        <v>396</v>
      </c>
      <c r="B24" s="265"/>
      <c r="C24" s="265"/>
      <c r="E24" s="69"/>
      <c r="F24" s="69"/>
    </row>
    <row r="25" spans="1:6" s="65" customFormat="1">
      <c r="A25" s="265"/>
      <c r="B25" s="265"/>
      <c r="C25" s="265"/>
      <c r="E25" s="69"/>
      <c r="F25" s="69"/>
    </row>
    <row r="26" spans="1:6" s="65" customFormat="1">
      <c r="E26" s="69"/>
      <c r="F26" s="69"/>
    </row>
    <row r="27" spans="1:6" s="65" customFormat="1">
      <c r="E27" s="69"/>
      <c r="F27" s="69"/>
    </row>
  </sheetData>
  <mergeCells count="9">
    <mergeCell ref="A8:D8"/>
    <mergeCell ref="B2:D2"/>
    <mergeCell ref="B3:D3"/>
    <mergeCell ref="B4:D4"/>
    <mergeCell ref="B5:D5"/>
    <mergeCell ref="A24:C25"/>
    <mergeCell ref="A11:A12"/>
    <mergeCell ref="B11:B12"/>
    <mergeCell ref="C11:D11"/>
  </mergeCells>
  <phoneticPr fontId="0" type="noConversion"/>
  <pageMargins left="0.70866141732283472" right="0.70866141732283472" top="0.74803149606299213" bottom="0.74803149606299213" header="0.31496062992125984" footer="0.31496062992125984"/>
  <pageSetup paperSize="9" scale="73" orientation="portrait" r:id="rId1"/>
</worksheet>
</file>

<file path=xl/worksheets/sheet5.xml><?xml version="1.0" encoding="utf-8"?>
<worksheet xmlns="http://schemas.openxmlformats.org/spreadsheetml/2006/main" xmlns:r="http://schemas.openxmlformats.org/officeDocument/2006/relationships">
  <sheetPr>
    <tabColor rgb="FFFFFF00"/>
    <pageSetUpPr fitToPage="1"/>
  </sheetPr>
  <dimension ref="A2:F27"/>
  <sheetViews>
    <sheetView workbookViewId="0">
      <selection activeCell="A29" sqref="A29"/>
    </sheetView>
  </sheetViews>
  <sheetFormatPr defaultRowHeight="16.5"/>
  <cols>
    <col min="1" max="1" width="50.7109375" style="59" customWidth="1"/>
    <col min="2" max="2" width="16.7109375" style="59" customWidth="1"/>
    <col min="3" max="3" width="17.85546875" style="59" customWidth="1"/>
    <col min="4" max="4" width="17.140625" style="59" customWidth="1"/>
    <col min="5" max="6" width="9.140625" style="60"/>
    <col min="7" max="16384" width="9.140625" style="59"/>
  </cols>
  <sheetData>
    <row r="2" spans="1:6">
      <c r="A2" s="70"/>
      <c r="B2" s="265" t="s">
        <v>186</v>
      </c>
      <c r="C2" s="265"/>
      <c r="D2" s="265"/>
      <c r="E2" s="56"/>
      <c r="F2" s="70"/>
    </row>
    <row r="3" spans="1:6">
      <c r="A3" s="70"/>
      <c r="B3" s="265" t="s">
        <v>134</v>
      </c>
      <c r="C3" s="265"/>
      <c r="D3" s="265"/>
      <c r="E3" s="56"/>
      <c r="F3" s="70"/>
    </row>
    <row r="4" spans="1:6">
      <c r="A4" s="70"/>
      <c r="B4" s="265" t="s">
        <v>0</v>
      </c>
      <c r="C4" s="265"/>
      <c r="D4" s="265"/>
      <c r="E4" s="56"/>
      <c r="F4" s="70"/>
    </row>
    <row r="5" spans="1:6">
      <c r="A5" s="70"/>
      <c r="B5" s="265" t="s">
        <v>395</v>
      </c>
      <c r="C5" s="265"/>
      <c r="D5" s="265"/>
      <c r="E5" s="56"/>
      <c r="F5" s="70"/>
    </row>
    <row r="6" spans="1:6">
      <c r="A6" s="70"/>
      <c r="B6" s="71"/>
      <c r="C6" s="196"/>
      <c r="D6" s="196"/>
      <c r="E6" s="19"/>
      <c r="F6" s="70"/>
    </row>
    <row r="8" spans="1:6" ht="58.5" customHeight="1">
      <c r="A8" s="264" t="s">
        <v>390</v>
      </c>
      <c r="B8" s="264"/>
      <c r="C8" s="264"/>
      <c r="D8" s="264"/>
      <c r="E8" s="70"/>
      <c r="F8" s="70"/>
    </row>
    <row r="9" spans="1:6">
      <c r="A9" s="108"/>
      <c r="B9" s="108"/>
      <c r="C9" s="71"/>
      <c r="D9" s="71"/>
      <c r="E9" s="70"/>
      <c r="F9" s="70"/>
    </row>
    <row r="10" spans="1:6">
      <c r="A10" s="71"/>
      <c r="B10" s="71"/>
      <c r="C10" s="71"/>
      <c r="D10" s="210" t="s">
        <v>135</v>
      </c>
      <c r="E10" s="70"/>
      <c r="F10" s="70"/>
    </row>
    <row r="11" spans="1:6">
      <c r="A11" s="266" t="s">
        <v>178</v>
      </c>
      <c r="B11" s="266" t="s">
        <v>5</v>
      </c>
      <c r="C11" s="269" t="s">
        <v>137</v>
      </c>
      <c r="D11" s="270"/>
      <c r="E11" s="70"/>
      <c r="F11" s="70"/>
    </row>
    <row r="12" spans="1:6" ht="27.75" customHeight="1">
      <c r="A12" s="266"/>
      <c r="B12" s="266"/>
      <c r="C12" s="197" t="s">
        <v>132</v>
      </c>
      <c r="D12" s="197" t="s">
        <v>378</v>
      </c>
      <c r="E12" s="70"/>
      <c r="F12" s="70"/>
    </row>
    <row r="13" spans="1:6" s="73" customFormat="1">
      <c r="A13" s="107">
        <v>1</v>
      </c>
      <c r="B13" s="107">
        <v>2</v>
      </c>
      <c r="C13" s="62">
        <v>3</v>
      </c>
      <c r="D13" s="62">
        <v>4</v>
      </c>
      <c r="E13" s="72"/>
      <c r="F13" s="72"/>
    </row>
    <row r="14" spans="1:6" s="73" customFormat="1" ht="35.1" hidden="1" customHeight="1">
      <c r="A14" s="198" t="s">
        <v>188</v>
      </c>
      <c r="B14" s="199"/>
      <c r="C14" s="199"/>
      <c r="D14" s="199"/>
      <c r="E14" s="72"/>
      <c r="F14" s="72"/>
    </row>
    <row r="15" spans="1:6" s="76" customFormat="1" ht="35.1" customHeight="1">
      <c r="A15" s="198" t="s">
        <v>179</v>
      </c>
      <c r="B15" s="199">
        <f>484.2</f>
        <v>484.2</v>
      </c>
      <c r="C15" s="199">
        <f>484.2</f>
        <v>484.2</v>
      </c>
      <c r="D15" s="199">
        <f>484.2</f>
        <v>484.2</v>
      </c>
      <c r="E15" s="74">
        <v>1.0249999999999999</v>
      </c>
      <c r="F15" s="75">
        <v>1.05</v>
      </c>
    </row>
    <row r="16" spans="1:6" s="76" customFormat="1" ht="35.1" hidden="1" customHeight="1">
      <c r="A16" s="198" t="s">
        <v>180</v>
      </c>
      <c r="B16" s="199"/>
      <c r="C16" s="199"/>
      <c r="D16" s="199"/>
      <c r="E16" s="74">
        <v>1.0249999999999999</v>
      </c>
      <c r="F16" s="75">
        <v>1.05</v>
      </c>
    </row>
    <row r="17" spans="1:6" s="76" customFormat="1" ht="35.1" customHeight="1">
      <c r="A17" s="198" t="s">
        <v>181</v>
      </c>
      <c r="B17" s="199">
        <f>191.9</f>
        <v>191.9</v>
      </c>
      <c r="C17" s="199">
        <f>118.4</f>
        <v>118.4</v>
      </c>
      <c r="D17" s="199">
        <f>118.4</f>
        <v>118.4</v>
      </c>
      <c r="E17" s="74">
        <v>1.0249999999999999</v>
      </c>
      <c r="F17" s="75">
        <v>1.05</v>
      </c>
    </row>
    <row r="18" spans="1:6" s="76" customFormat="1" ht="35.1" customHeight="1">
      <c r="A18" s="198" t="s">
        <v>182</v>
      </c>
      <c r="B18" s="199">
        <f>338.1</f>
        <v>338.1</v>
      </c>
      <c r="C18" s="199">
        <f>338.1</f>
        <v>338.1</v>
      </c>
      <c r="D18" s="199">
        <f>338.1</f>
        <v>338.1</v>
      </c>
      <c r="E18" s="74">
        <v>1.0249999999999999</v>
      </c>
      <c r="F18" s="75">
        <v>1.05</v>
      </c>
    </row>
    <row r="19" spans="1:6" s="76" customFormat="1" ht="35.1" customHeight="1">
      <c r="A19" s="198" t="s">
        <v>183</v>
      </c>
      <c r="B19" s="199">
        <f>182.4</f>
        <v>182.4</v>
      </c>
      <c r="C19" s="199">
        <f>182.4</f>
        <v>182.4</v>
      </c>
      <c r="D19" s="199">
        <f>182.4</f>
        <v>182.4</v>
      </c>
      <c r="E19" s="74">
        <v>1.0249999999999999</v>
      </c>
      <c r="F19" s="75">
        <v>1.05</v>
      </c>
    </row>
    <row r="20" spans="1:6" s="76" customFormat="1" ht="35.1" customHeight="1">
      <c r="A20" s="198" t="s">
        <v>184</v>
      </c>
      <c r="B20" s="199">
        <f>506.2</f>
        <v>506.2</v>
      </c>
      <c r="C20" s="199">
        <f>506.2</f>
        <v>506.2</v>
      </c>
      <c r="D20" s="199">
        <f>506.2</f>
        <v>506.2</v>
      </c>
      <c r="E20" s="74">
        <v>1.0249999999999999</v>
      </c>
      <c r="F20" s="75">
        <v>1.05</v>
      </c>
    </row>
    <row r="21" spans="1:6" s="76" customFormat="1" ht="35.1" customHeight="1">
      <c r="A21" s="200" t="s">
        <v>185</v>
      </c>
      <c r="B21" s="201">
        <f>SUM(B14:B20)</f>
        <v>1702.8000000000002</v>
      </c>
      <c r="C21" s="201">
        <f>SUM(C14:C20)</f>
        <v>1629.3000000000002</v>
      </c>
      <c r="D21" s="201">
        <f>SUM(D14:D20)</f>
        <v>1629.3000000000002</v>
      </c>
      <c r="E21" s="77"/>
      <c r="F21" s="77"/>
    </row>
    <row r="22" spans="1:6" s="65" customFormat="1">
      <c r="E22" s="69"/>
      <c r="F22" s="69"/>
    </row>
    <row r="23" spans="1:6" s="65" customFormat="1">
      <c r="E23" s="69"/>
      <c r="F23" s="69"/>
    </row>
    <row r="24" spans="1:6" s="65" customFormat="1">
      <c r="A24" s="265" t="s">
        <v>397</v>
      </c>
      <c r="B24" s="265"/>
      <c r="C24" s="265"/>
      <c r="E24" s="69"/>
      <c r="F24" s="69"/>
    </row>
    <row r="25" spans="1:6" s="65" customFormat="1">
      <c r="A25" s="265"/>
      <c r="B25" s="265"/>
      <c r="C25" s="265"/>
      <c r="E25" s="69"/>
      <c r="F25" s="69"/>
    </row>
    <row r="26" spans="1:6" s="65" customFormat="1">
      <c r="E26" s="69"/>
      <c r="F26" s="69"/>
    </row>
    <row r="27" spans="1:6" s="65" customFormat="1">
      <c r="E27" s="69"/>
      <c r="F27" s="69"/>
    </row>
  </sheetData>
  <mergeCells count="9">
    <mergeCell ref="A8:D8"/>
    <mergeCell ref="B2:D2"/>
    <mergeCell ref="B3:D3"/>
    <mergeCell ref="B4:D4"/>
    <mergeCell ref="B5:D5"/>
    <mergeCell ref="A24:C25"/>
    <mergeCell ref="A11:A12"/>
    <mergeCell ref="B11:B12"/>
    <mergeCell ref="C11:D11"/>
  </mergeCells>
  <phoneticPr fontId="0" type="noConversion"/>
  <pageMargins left="0.70866141732283472" right="0.70866141732283472" top="0.74803149606299213" bottom="0.74803149606299213" header="0.31496062992125984" footer="0.31496062992125984"/>
  <pageSetup paperSize="9" scale="72" orientation="portrait" r:id="rId1"/>
</worksheet>
</file>

<file path=xl/worksheets/sheet6.xml><?xml version="1.0" encoding="utf-8"?>
<worksheet xmlns="http://schemas.openxmlformats.org/spreadsheetml/2006/main" xmlns:r="http://schemas.openxmlformats.org/officeDocument/2006/relationships">
  <sheetPr>
    <tabColor rgb="FFFFFF00"/>
    <pageSetUpPr fitToPage="1"/>
  </sheetPr>
  <dimension ref="A2:F27"/>
  <sheetViews>
    <sheetView workbookViewId="0">
      <selection activeCell="C32" sqref="C32"/>
    </sheetView>
  </sheetViews>
  <sheetFormatPr defaultRowHeight="16.5"/>
  <cols>
    <col min="1" max="1" width="52.28515625" style="59" customWidth="1"/>
    <col min="2" max="2" width="17.42578125" style="59" customWidth="1"/>
    <col min="3" max="4" width="16.5703125" style="59" customWidth="1"/>
    <col min="5" max="6" width="9.140625" style="60"/>
    <col min="7" max="16384" width="9.140625" style="59"/>
  </cols>
  <sheetData>
    <row r="2" spans="1:6">
      <c r="B2" s="265" t="s">
        <v>187</v>
      </c>
      <c r="C2" s="265"/>
      <c r="D2" s="265"/>
      <c r="E2" s="56"/>
    </row>
    <row r="3" spans="1:6">
      <c r="B3" s="265" t="s">
        <v>134</v>
      </c>
      <c r="C3" s="265"/>
      <c r="D3" s="265"/>
      <c r="E3" s="56"/>
    </row>
    <row r="4" spans="1:6">
      <c r="B4" s="265" t="s">
        <v>0</v>
      </c>
      <c r="C4" s="265"/>
      <c r="D4" s="265"/>
      <c r="E4" s="56"/>
    </row>
    <row r="5" spans="1:6">
      <c r="B5" s="265" t="s">
        <v>395</v>
      </c>
      <c r="C5" s="265"/>
      <c r="D5" s="265"/>
      <c r="E5" s="56"/>
    </row>
    <row r="6" spans="1:6">
      <c r="C6" s="19"/>
      <c r="D6" s="19"/>
      <c r="E6" s="19"/>
    </row>
    <row r="8" spans="1:6" s="61" customFormat="1" ht="45.75" customHeight="1">
      <c r="A8" s="264" t="s">
        <v>391</v>
      </c>
      <c r="B8" s="264"/>
      <c r="C8" s="264"/>
      <c r="D8" s="264"/>
      <c r="E8" s="78"/>
      <c r="F8" s="78"/>
    </row>
    <row r="9" spans="1:6" s="61" customFormat="1">
      <c r="A9" s="108"/>
      <c r="B9" s="108"/>
      <c r="E9" s="78"/>
      <c r="F9" s="78"/>
    </row>
    <row r="10" spans="1:6" s="61" customFormat="1" ht="25.5" customHeight="1">
      <c r="D10" s="209" t="s">
        <v>135</v>
      </c>
      <c r="E10" s="78"/>
      <c r="F10" s="78"/>
    </row>
    <row r="11" spans="1:6" s="61" customFormat="1">
      <c r="A11" s="266" t="s">
        <v>178</v>
      </c>
      <c r="B11" s="266" t="s">
        <v>5</v>
      </c>
      <c r="C11" s="269" t="s">
        <v>137</v>
      </c>
      <c r="D11" s="270"/>
      <c r="E11" s="78"/>
      <c r="F11" s="78"/>
    </row>
    <row r="12" spans="1:6" s="61" customFormat="1" ht="31.5" customHeight="1">
      <c r="A12" s="266"/>
      <c r="B12" s="266"/>
      <c r="C12" s="197" t="s">
        <v>132</v>
      </c>
      <c r="D12" s="197" t="s">
        <v>378</v>
      </c>
      <c r="E12" s="78"/>
      <c r="F12" s="78"/>
    </row>
    <row r="13" spans="1:6" s="80" customFormat="1" ht="27.75" customHeight="1">
      <c r="A13" s="107">
        <v>1</v>
      </c>
      <c r="B13" s="107">
        <v>2</v>
      </c>
      <c r="C13" s="62">
        <v>3</v>
      </c>
      <c r="D13" s="62">
        <v>4</v>
      </c>
      <c r="E13" s="79"/>
      <c r="F13" s="79"/>
    </row>
    <row r="14" spans="1:6" s="73" customFormat="1" ht="30" hidden="1" customHeight="1">
      <c r="A14" s="58" t="s">
        <v>188</v>
      </c>
      <c r="B14" s="81"/>
      <c r="C14" s="81"/>
      <c r="D14" s="81"/>
      <c r="E14" s="82">
        <v>1.0249999999999999</v>
      </c>
      <c r="F14" s="72"/>
    </row>
    <row r="15" spans="1:6" s="76" customFormat="1" ht="30" hidden="1" customHeight="1">
      <c r="A15" s="198" t="s">
        <v>179</v>
      </c>
      <c r="B15" s="202"/>
      <c r="C15" s="202"/>
      <c r="D15" s="202"/>
      <c r="E15" s="82">
        <v>1.0249999999999999</v>
      </c>
      <c r="F15" s="75">
        <v>1.05</v>
      </c>
    </row>
    <row r="16" spans="1:6" s="76" customFormat="1" ht="30" customHeight="1">
      <c r="A16" s="198" t="s">
        <v>180</v>
      </c>
      <c r="B16" s="202">
        <f>746.3</f>
        <v>746.3</v>
      </c>
      <c r="C16" s="202">
        <f>746.3</f>
        <v>746.3</v>
      </c>
      <c r="D16" s="202">
        <f>746.3</f>
        <v>746.3</v>
      </c>
      <c r="E16" s="82">
        <v>1.0249999999999999</v>
      </c>
      <c r="F16" s="75">
        <v>1.05</v>
      </c>
    </row>
    <row r="17" spans="1:6" s="76" customFormat="1" ht="30" hidden="1" customHeight="1">
      <c r="A17" s="198" t="s">
        <v>181</v>
      </c>
      <c r="B17" s="202">
        <v>0</v>
      </c>
      <c r="C17" s="202">
        <v>0</v>
      </c>
      <c r="D17" s="202">
        <v>0</v>
      </c>
      <c r="E17" s="82">
        <v>1.0249999999999999</v>
      </c>
      <c r="F17" s="75">
        <v>1.05</v>
      </c>
    </row>
    <row r="18" spans="1:6" s="76" customFormat="1" ht="30" customHeight="1">
      <c r="A18" s="198" t="s">
        <v>182</v>
      </c>
      <c r="B18" s="202">
        <f>446.2</f>
        <v>446.2</v>
      </c>
      <c r="C18" s="202">
        <v>446.2</v>
      </c>
      <c r="D18" s="202">
        <v>446.2</v>
      </c>
      <c r="E18" s="82">
        <v>1.0249999999999999</v>
      </c>
      <c r="F18" s="75">
        <v>1.05</v>
      </c>
    </row>
    <row r="19" spans="1:6" s="76" customFormat="1" ht="30" hidden="1" customHeight="1">
      <c r="A19" s="198" t="s">
        <v>183</v>
      </c>
      <c r="B19" s="202">
        <v>0</v>
      </c>
      <c r="C19" s="202">
        <v>0</v>
      </c>
      <c r="D19" s="202">
        <v>0</v>
      </c>
      <c r="E19" s="82">
        <v>1.0249999999999999</v>
      </c>
      <c r="F19" s="75">
        <v>1.05</v>
      </c>
    </row>
    <row r="20" spans="1:6" s="76" customFormat="1" ht="30" hidden="1" customHeight="1">
      <c r="A20" s="198" t="s">
        <v>184</v>
      </c>
      <c r="B20" s="202"/>
      <c r="C20" s="202"/>
      <c r="D20" s="202"/>
      <c r="E20" s="82">
        <v>1.0249999999999999</v>
      </c>
      <c r="F20" s="75">
        <v>1.05</v>
      </c>
    </row>
    <row r="21" spans="1:6" s="84" customFormat="1" ht="30" customHeight="1">
      <c r="A21" s="200" t="s">
        <v>185</v>
      </c>
      <c r="B21" s="203">
        <f>SUM(B14:B20)</f>
        <v>1192.5</v>
      </c>
      <c r="C21" s="204">
        <f>SUM(C14:C20)</f>
        <v>1192.5</v>
      </c>
      <c r="D21" s="204">
        <f>SUM(D14:D20)</f>
        <v>1192.5</v>
      </c>
      <c r="E21" s="83"/>
      <c r="F21" s="83"/>
    </row>
    <row r="22" spans="1:6" s="65" customFormat="1">
      <c r="E22" s="69"/>
      <c r="F22" s="69"/>
    </row>
    <row r="23" spans="1:6" s="65" customFormat="1">
      <c r="E23" s="69"/>
      <c r="F23" s="69"/>
    </row>
    <row r="24" spans="1:6" s="65" customFormat="1">
      <c r="A24" s="265" t="s">
        <v>398</v>
      </c>
      <c r="B24" s="265"/>
      <c r="C24" s="265"/>
      <c r="E24" s="69"/>
      <c r="F24" s="69"/>
    </row>
    <row r="25" spans="1:6" s="65" customFormat="1">
      <c r="A25" s="265"/>
      <c r="B25" s="265"/>
      <c r="C25" s="265"/>
      <c r="E25" s="69"/>
      <c r="F25" s="69"/>
    </row>
    <row r="26" spans="1:6" s="65" customFormat="1">
      <c r="E26" s="69"/>
      <c r="F26" s="69"/>
    </row>
    <row r="27" spans="1:6" s="65" customFormat="1">
      <c r="E27" s="69"/>
      <c r="F27" s="69"/>
    </row>
  </sheetData>
  <mergeCells count="9">
    <mergeCell ref="A8:D8"/>
    <mergeCell ref="B2:D2"/>
    <mergeCell ref="B3:D3"/>
    <mergeCell ref="B4:D4"/>
    <mergeCell ref="B5:D5"/>
    <mergeCell ref="A24:C25"/>
    <mergeCell ref="A11:A12"/>
    <mergeCell ref="B11:B12"/>
    <mergeCell ref="C11:D11"/>
  </mergeCells>
  <phoneticPr fontId="0" type="noConversion"/>
  <pageMargins left="0.70866141732283472" right="0.70866141732283472" top="0.74803149606299213" bottom="0.74803149606299213" header="0.31496062992125984" footer="0.31496062992125984"/>
  <pageSetup paperSize="9" scale="7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6</vt:i4>
      </vt:variant>
    </vt:vector>
  </HeadingPairs>
  <TitlesOfParts>
    <vt:vector size="6" baseType="lpstr">
      <vt:lpstr>Прил.3 Расх КВСР 2016-18</vt:lpstr>
      <vt:lpstr>Пр.1 Осн.пар.конс.бюдж.2016-18</vt:lpstr>
      <vt:lpstr>Пр.2 Осн.пар.бюджРМР 2016-18</vt:lpstr>
      <vt:lpstr>Прил4 Дот.обл.16-18</vt:lpstr>
      <vt:lpstr>Пр.5 Дотац.РМР 2016-18</vt:lpstr>
      <vt:lpstr>Пр.6 иные МБТ 2016-18</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2015-11-19T11:56:23Z</cp:lastPrinted>
  <dcterms:created xsi:type="dcterms:W3CDTF">2006-09-28T05:33:49Z</dcterms:created>
  <dcterms:modified xsi:type="dcterms:W3CDTF">2015-11-19T12:01:46Z</dcterms:modified>
</cp:coreProperties>
</file>