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Осн.парам.бюдж.г.Ртищ.2017-2019" sheetId="1" r:id="rId1"/>
    <sheet name="Расх КВСР-ФСР-ЦСР нов" sheetId="2" r:id="rId2"/>
    <sheet name="Справочно Город 2017-2019" sheetId="3" r:id="rId3"/>
    <sheet name="Данные свода ГП и СП 2017-2019" sheetId="4" r:id="rId4"/>
  </sheets>
  <definedNames>
    <definedName name="_xlnm.Print_Area" localSheetId="0">'Осн.парам.бюдж.г.Ртищ.2017-2019'!$A$1:$F$54</definedName>
    <definedName name="_xlnm.Print_Area" localSheetId="1">'Расх КВСР-ФСР-ЦСР нов'!$A$1:$L$273</definedName>
  </definedNames>
  <calcPr fullCalcOnLoad="1"/>
</workbook>
</file>

<file path=xl/sharedStrings.xml><?xml version="1.0" encoding="utf-8"?>
<sst xmlns="http://schemas.openxmlformats.org/spreadsheetml/2006/main" count="2298" uniqueCount="302">
  <si>
    <t>(тыс. рублей)</t>
  </si>
  <si>
    <t>Наименование</t>
  </si>
  <si>
    <t>2017 год</t>
  </si>
  <si>
    <t>№ п/п</t>
  </si>
  <si>
    <t>Плановый период</t>
  </si>
  <si>
    <t>1.</t>
  </si>
  <si>
    <t xml:space="preserve">Доходы - всего: </t>
  </si>
  <si>
    <t>Налоговые и неналоговые доходы</t>
  </si>
  <si>
    <t>из них: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</si>
  <si>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</si>
  <si>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</si>
  <si>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</si>
  <si>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</si>
  <si>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</si>
  <si>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</si>
  <si>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получение</t>
  </si>
  <si>
    <t>погашение</t>
  </si>
  <si>
    <t>Изменение остатков средств бюджета</t>
  </si>
  <si>
    <t>5.</t>
  </si>
  <si>
    <t xml:space="preserve">              </t>
  </si>
  <si>
    <t>в том числе:</t>
  </si>
  <si>
    <t>доходы от иной приносящей доход деятельности</t>
  </si>
  <si>
    <t>Источники внутреннего финансирования  дефицита бюджета</t>
  </si>
  <si>
    <t>возврат</t>
  </si>
  <si>
    <t>предоставление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</si>
  <si>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</si>
  <si>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</si>
  <si>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</si>
  <si>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Иные источники внутреннего финансирования дефицита бюджета</t>
  </si>
  <si>
    <t>Субвенции на осуществление первичного воинского учета на территориях, где отсутствуют военные комиссариаты</t>
  </si>
  <si>
    <t>Наименование поселений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</si>
  <si>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</si>
  <si>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</si>
  <si>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</si>
  <si>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</si>
  <si>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</si>
  <si>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</si>
  <si>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ИТОГО</t>
  </si>
  <si>
    <t>в т.ч.полномочия</t>
  </si>
  <si>
    <t>Доходы всего</t>
  </si>
  <si>
    <t>Налоговые и неналоговые доходы поселений</t>
  </si>
  <si>
    <t>в т.ч.</t>
  </si>
  <si>
    <t>Расходы всего</t>
  </si>
  <si>
    <t>Из них на передачу полномочий РМР, всего</t>
  </si>
  <si>
    <t>в том числе полномочия в соотв. с соглашениями</t>
  </si>
  <si>
    <t>Доходы всего :</t>
  </si>
  <si>
    <t xml:space="preserve">из них </t>
  </si>
  <si>
    <t>Дотация на выравн.б/о из обл. фонда фин.поддержки поселений</t>
  </si>
  <si>
    <t>дотации на выравнив.б/о  из районного фонда фин. поддержки</t>
  </si>
  <si>
    <t>иные МБТ бюджетам поселений из бюджета РМР</t>
  </si>
  <si>
    <t xml:space="preserve"> по формир-ю, испол-ю и контролю за испол-м бюджетов</t>
  </si>
  <si>
    <t xml:space="preserve"> по организации водоснабжения</t>
  </si>
  <si>
    <t>по дорожной деятельности</t>
  </si>
  <si>
    <t>инвентаризация и землеустроительные работы</t>
  </si>
  <si>
    <t xml:space="preserve"> дотация за счет субв. из обл.бюдж.</t>
  </si>
  <si>
    <t xml:space="preserve"> по форм-ю, исп-ю и контролю за испол-м бюджетов</t>
  </si>
  <si>
    <t>Муниципальное образование г. Ртищево</t>
  </si>
  <si>
    <t>Субвенции по воинскому учету</t>
  </si>
  <si>
    <t>в т.ч:</t>
  </si>
  <si>
    <t xml:space="preserve"> </t>
  </si>
  <si>
    <t>Код</t>
  </si>
  <si>
    <t>3</t>
  </si>
  <si>
    <t>4</t>
  </si>
  <si>
    <t>5</t>
  </si>
  <si>
    <t>6</t>
  </si>
  <si>
    <t>Общегосударственные 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</si>
  <si>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</si>
  <si>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</si>
  <si>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</si>
  <si>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</si>
  <si>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</si>
  <si>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</si>
  <si>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</si>
  <si>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</si>
  <si>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</si>
  <si>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</si>
  <si>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</si>
  <si>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</si>
  <si>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</si>
  <si>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</si>
  <si>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</si>
  <si>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</si>
  <si>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11</t>
  </si>
  <si>
    <t>Другие общегосударственные вопросы</t>
  </si>
  <si>
    <t>13</t>
  </si>
  <si>
    <t>Прочие непрограммные расходы  органов исполнительной власти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</si>
  <si>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</si>
  <si>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</si>
  <si>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02</t>
  </si>
  <si>
    <t>03</t>
  </si>
  <si>
    <t>09</t>
  </si>
  <si>
    <t>Дорожное хозяйство</t>
  </si>
  <si>
    <t>Жилищно-коммунальное хозяйство</t>
  </si>
  <si>
    <t>05</t>
  </si>
  <si>
    <t>Благоустройство</t>
  </si>
  <si>
    <t>Уличное освещение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</si>
  <si>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</si>
  <si>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</si>
  <si>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Образование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</si>
  <si>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</si>
  <si>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</si>
  <si>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</si>
  <si>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</si>
  <si>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</si>
  <si>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300</t>
  </si>
  <si>
    <t>310</t>
  </si>
  <si>
    <t>ВСЕГО РАСХОДОВ</t>
  </si>
  <si>
    <t>Межбюджетные трансферты, передаваемые бюджету муниципального района</t>
  </si>
  <si>
    <t>Дотация бюджетам поселений  на выравнивание бюджетной обеспеченности за счет субвенции муниципального района на исполнение государственных полномочий по расчету и предоставлению дотаций поселениям</t>
  </si>
  <si>
    <t>Дотация бюджетам поселений  на выравнивание бюджетной обеспеченности  из районного фонда финансовой поддержки поселений</t>
  </si>
  <si>
    <t>Иные межбюджетные трансферты бюджету муниципального района в соответствии с заключенным соглашением о передаче полномочий органам местного самоуправления Ртищевского муниципального района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</si>
  <si>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</si>
  <si>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</si>
  <si>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</si>
  <si>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054</t>
  </si>
  <si>
    <t>Оплата за газ для поддержания вечного огня</t>
  </si>
  <si>
    <t>Мероприятия в  области жилищно-коммунального хозяйства муниципального образования</t>
  </si>
  <si>
    <t>Администрация Ртищевского муниципального района</t>
  </si>
  <si>
    <t>056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</si>
  <si>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</si>
  <si>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</si>
  <si>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</si>
  <si>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</si>
  <si>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Подпрограмма "Ремонт автомобильных дорог и искусственных сооружений на них в границах городских и сельских поселений"</t>
  </si>
  <si>
    <t xml:space="preserve">05 </t>
  </si>
  <si>
    <t>Отлов и содержание безнадзорных животных</t>
  </si>
  <si>
    <t xml:space="preserve">Озеленение </t>
  </si>
  <si>
    <t>Содержание мест захоронения</t>
  </si>
  <si>
    <t>Социальное обеспечение и иные выплаты населению</t>
  </si>
  <si>
    <t>Средства массовой информации</t>
  </si>
  <si>
    <t>12</t>
  </si>
  <si>
    <t xml:space="preserve">Периодическая печать и издательства
</t>
  </si>
  <si>
    <t>МУ "Административно-хозяйственная группа"</t>
  </si>
  <si>
    <t>Расходы на выплаты персоналу казенных учреждений</t>
  </si>
  <si>
    <t>110</t>
  </si>
  <si>
    <t>Отдел по спорту и туризму Администрации Ртищевского муниципального района</t>
  </si>
  <si>
    <t>230</t>
  </si>
  <si>
    <t>Субсидии бюджетным учреждениям</t>
  </si>
  <si>
    <t>610</t>
  </si>
  <si>
    <t>Физическая культура и спорт</t>
  </si>
  <si>
    <t xml:space="preserve">Физическая культура </t>
  </si>
  <si>
    <t>Предельный объем муниципального долга  на конец года</t>
  </si>
  <si>
    <t>Раздел</t>
  </si>
  <si>
    <t>Подраздел</t>
  </si>
  <si>
    <t>Целевая статья</t>
  </si>
  <si>
    <t>Вид расходов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</si>
  <si>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</si>
  <si>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</si>
  <si>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</si>
  <si>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</si>
  <si>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</si>
  <si>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</si>
  <si>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</si>
  <si>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</si>
  <si>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Жилищное хозяйство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</si>
  <si>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</si>
  <si>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</si>
  <si>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</si>
  <si>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</si>
  <si>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</si>
  <si>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</si>
  <si>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</si>
  <si>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</si>
  <si>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2</t>
  </si>
  <si>
    <t>05210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</si>
  <si>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</si>
  <si>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</si>
  <si>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Резервные фонды</t>
  </si>
  <si>
    <t>Резервные средства</t>
  </si>
  <si>
    <t>9</t>
  </si>
  <si>
    <t>Средства резервных фондов местных администраций</t>
  </si>
  <si>
    <t>99900</t>
  </si>
  <si>
    <t>870</t>
  </si>
  <si>
    <t>79</t>
  </si>
  <si>
    <t>Основное мероприятие "Повышение антитеррористической защищенности объектов социальной сферы"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</si>
  <si>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</si>
  <si>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Основное мероприятие "Информационное обеспечение антинаркотических мероприятий"</t>
  </si>
  <si>
    <t>75</t>
  </si>
  <si>
    <t>Реализация основного мероприятия за счет средств муниципального дорожного фонда</t>
  </si>
  <si>
    <t>G0000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</si>
  <si>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</si>
  <si>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</si>
  <si>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Основное мероприятие "Улучшение эстетического состояния города"</t>
  </si>
  <si>
    <t>80</t>
  </si>
  <si>
    <t>Формовочная обрезка деревьев</t>
  </si>
  <si>
    <t>00820</t>
  </si>
  <si>
    <t>Приобретение и посадка цветочной рассады</t>
  </si>
  <si>
    <t>00830</t>
  </si>
  <si>
    <t>Спил отдельно стоящих аварийных деревьев</t>
  </si>
  <si>
    <t>00840</t>
  </si>
  <si>
    <t>Основное мероприятие "Улучшение санитарного состояния города"</t>
  </si>
  <si>
    <t>Ликвидация несанкционированных свалок</t>
  </si>
  <si>
    <t>00850</t>
  </si>
  <si>
    <t>Основное мероприятие "Создание мест для полноценного отдыха горожан"</t>
  </si>
  <si>
    <t>Обустройство городского пляжа</t>
  </si>
  <si>
    <t>00860</t>
  </si>
  <si>
    <t>Основное мероприятие "Улучшение эстетического вида территорий городских кладбищ"</t>
  </si>
  <si>
    <t>Уборка территорий городских кладбищ</t>
  </si>
  <si>
    <t>00870</t>
  </si>
  <si>
    <t>Основное мероприятие "Контроль за численностью безнадзорных животных"</t>
  </si>
  <si>
    <t>06</t>
  </si>
  <si>
    <t>00880</t>
  </si>
  <si>
    <t>Мероприятия по благоустройству</t>
  </si>
  <si>
    <t>05310</t>
  </si>
  <si>
    <t>05330</t>
  </si>
  <si>
    <t>05340</t>
  </si>
  <si>
    <t>Прочие мероприятия по благоустройству</t>
  </si>
  <si>
    <t>05350</t>
  </si>
  <si>
    <t>Расходы по социальному обеспечению и иным выплатам населению муниципального образования</t>
  </si>
  <si>
    <t>96</t>
  </si>
  <si>
    <t>07100</t>
  </si>
  <si>
    <t>Выполнение функций органами местного самоуправления</t>
  </si>
  <si>
    <t>91</t>
  </si>
  <si>
    <t xml:space="preserve">Информационное обеспечение деятельности органов местного самоуправления </t>
  </si>
  <si>
    <t>08400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</si>
  <si>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</si>
  <si>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</si>
  <si>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</si>
  <si>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</si>
  <si>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</si>
  <si>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Финансовое обеспечение муниципального задания на оказание муниципальных услуг (выполнение работ)</t>
  </si>
  <si>
    <t>04110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</si>
  <si>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</si>
  <si>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</si>
  <si>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</si>
  <si>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</si>
  <si>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</si>
  <si>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02200</t>
  </si>
  <si>
    <t>Уплата  налога на имущество и транспортного налога органами местного самоуправления</t>
  </si>
  <si>
    <t>06100</t>
  </si>
  <si>
    <t>2018 год</t>
  </si>
  <si>
    <t>Муниципальное образование           г. Ртищево</t>
  </si>
  <si>
    <t>Основные параметры бюджета муниципального образования город Ртищево  на 2017-2019 годы</t>
  </si>
  <si>
    <t>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</si>
  <si>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 муниципального образования), группам и подгруппам видов расходов классификации расходов бюджета муниципального образования город Ртищево на 2017 год и  плановый период 2018-2019 годов</t>
  </si>
  <si>
    <t>Проекты бюджетов поселений 2017- 2019 годы</t>
  </si>
  <si>
    <t>дотации на выравнив. б/о  из районного фонда фин. поддержки</t>
  </si>
  <si>
    <t>Закупка товаров, работ и услуг для обеспечения государственных (муниципальных) нужд</t>
  </si>
  <si>
    <t>Расходы на оплату членских взносов в ассоциации</t>
  </si>
  <si>
    <t>08200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</si>
  <si>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</si>
  <si>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00460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</si>
  <si>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</si>
  <si>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</si>
  <si>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</si>
  <si>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</si>
  <si>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</si>
  <si>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</si>
  <si>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</si>
  <si>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</si>
  <si>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</si>
  <si>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 xml:space="preserve">Муниципальная программа "Профилактика правонарушений и терроризма, противодействие незаконному обороту наркотических средств на 2017 - 2020 годы"
</t>
  </si>
  <si>
    <t>Подпрограмма "Проведение усиления антитеррористической защищенности населения на территории Ртищевского муниципального района Саратовской области на 2017-2020 годы"</t>
  </si>
  <si>
    <t xml:space="preserve">Приобретение и установка камер уличного видеонаблюдения </t>
  </si>
  <si>
    <t>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</si>
  <si>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</si>
  <si>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</si>
  <si>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</si>
  <si>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</si>
  <si>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</si>
  <si>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</si>
  <si>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</si>
  <si>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Основное мероприятие "Ремонт асфальтового покрытия улиц и дворовых территорий г. Ртищево"</t>
  </si>
  <si>
    <t>Ведомственная целевая программа  "Комплексное благоустройство территории города Ртищево на 2017 год"</t>
  </si>
  <si>
    <t>Основное мероприятие "Улучшение архитектурного вида города"</t>
  </si>
  <si>
    <t>Асфальтирование пешеходных дорожек на территории городского Парка культуры и отдыха</t>
  </si>
  <si>
    <t>00960</t>
  </si>
  <si>
    <t xml:space="preserve"> Укладка бордюрного камня на территории городского Парка культуры и отдыха</t>
  </si>
  <si>
    <t>00970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</si>
  <si>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</si>
  <si>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</si>
  <si>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</si>
  <si>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</si>
  <si>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</si>
  <si>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</si>
  <si>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</si>
  <si>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</si>
  <si>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</si>
  <si>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</si>
  <si>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</si>
  <si>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</si>
  <si>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Подпрограмма "Организация и проведение официальных  физкультурных, физкультурно-оздоровительных и спортивных мероприятий на 2017-2019 годы"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</si>
  <si>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</si>
  <si>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</si>
  <si>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"Обязательное обучение плаванию учащихся третьих классов общеобразовательных учреждений города и района на 2017-2019 годы"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</si>
  <si>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</si>
  <si>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</si>
  <si>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нет</t>
  </si>
  <si>
    <t>и еще +500</t>
  </si>
  <si>
    <t>и еще 500</t>
  </si>
  <si>
    <t>и еще +1324</t>
  </si>
  <si>
    <t>и еще +2182,9</t>
  </si>
  <si>
    <t>Верно: начальник отдела делопроизводства</t>
  </si>
  <si>
    <t>Ю.А. Малюгина</t>
  </si>
  <si>
    <t>администрации муниципального района</t>
  </si>
  <si>
    <t>от 21 ноября 2016 года № 930-р</t>
  </si>
  <si>
    <t xml:space="preserve">Приложение  №  1 </t>
  </si>
  <si>
    <t xml:space="preserve">к распоряжению администрации  </t>
  </si>
  <si>
    <t>Ртищевского муниципального района</t>
  </si>
  <si>
    <t xml:space="preserve"> к распоряжению администрации </t>
  </si>
  <si>
    <t xml:space="preserve">Приложение  №  2 </t>
  </si>
  <si>
    <t>Отдел по управлению имуществом и земельным отношениям администрации Ртищевского муниципального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</si>
</sst>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5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3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wrapText="1"/>
    </xf>
    <xf numFmtId="0" fontId="2" fillId="3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64" fontId="7" fillId="33" borderId="12" xfId="0" applyNumberFormat="1" applyFont="1" applyFill="1" applyBorder="1" applyAlignment="1">
      <alignment horizontal="left" wrapText="1"/>
    </xf>
    <xf numFmtId="164" fontId="8" fillId="0" borderId="12" xfId="0" applyNumberFormat="1" applyFont="1" applyFill="1" applyBorder="1" applyAlignment="1">
      <alignment horizontal="left" wrapText="1"/>
    </xf>
    <xf numFmtId="164" fontId="8" fillId="36" borderId="12" xfId="0" applyNumberFormat="1" applyFont="1" applyFill="1" applyBorder="1" applyAlignment="1">
      <alignment horizontal="left" wrapText="1"/>
    </xf>
    <xf numFmtId="164" fontId="6" fillId="33" borderId="12" xfId="0" applyNumberFormat="1" applyFont="1" applyFill="1" applyBorder="1" applyAlignment="1">
      <alignment wrapText="1"/>
    </xf>
    <xf numFmtId="164" fontId="6" fillId="3" borderId="12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 wrapText="1"/>
    </xf>
    <xf numFmtId="164" fontId="6" fillId="0" borderId="12" xfId="0" applyNumberFormat="1" applyFont="1" applyFill="1" applyBorder="1" applyAlignment="1">
      <alignment wrapText="1"/>
    </xf>
    <xf numFmtId="164" fontId="6" fillId="36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10" fontId="12" fillId="0" borderId="0" xfId="0" applyNumberFormat="1" applyFont="1" applyFill="1" applyAlignment="1">
      <alignment/>
    </xf>
    <xf numFmtId="9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0" fontId="13" fillId="0" borderId="0" xfId="0" applyNumberFormat="1" applyFont="1" applyFill="1" applyAlignment="1">
      <alignment/>
    </xf>
    <xf numFmtId="9" fontId="1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5" fillId="0" borderId="0" xfId="0" applyNumberFormat="1" applyFont="1" applyFill="1" applyAlignment="1">
      <alignment/>
    </xf>
    <xf numFmtId="9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0" fontId="13" fillId="0" borderId="0" xfId="0" applyNumberFormat="1" applyFont="1" applyFill="1" applyAlignment="1">
      <alignment/>
    </xf>
    <xf numFmtId="10" fontId="12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164" fontId="11" fillId="0" borderId="12" xfId="66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164" fontId="10" fillId="0" borderId="12" xfId="66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wrapText="1"/>
    </xf>
    <xf numFmtId="164" fontId="14" fillId="0" borderId="12" xfId="66" applyNumberFormat="1" applyFont="1" applyFill="1" applyBorder="1" applyAlignment="1">
      <alignment horizontal="center"/>
    </xf>
    <xf numFmtId="164" fontId="10" fillId="0" borderId="12" xfId="66" applyNumberFormat="1" applyFont="1" applyFill="1" applyBorder="1" applyAlignment="1">
      <alignment/>
    </xf>
    <xf numFmtId="0" fontId="14" fillId="0" borderId="12" xfId="0" applyFont="1" applyFill="1" applyBorder="1" applyAlignment="1">
      <alignment horizontal="left" wrapText="1"/>
    </xf>
    <xf numFmtId="164" fontId="63" fillId="0" borderId="12" xfId="66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 wrapText="1"/>
    </xf>
    <xf numFmtId="164" fontId="11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 applyProtection="1">
      <alignment horizontal="center"/>
      <protection locked="0"/>
    </xf>
    <xf numFmtId="164" fontId="11" fillId="0" borderId="12" xfId="0" applyNumberFormat="1" applyFont="1" applyFill="1" applyBorder="1" applyAlignment="1">
      <alignment horizontal="center"/>
    </xf>
    <xf numFmtId="164" fontId="64" fillId="0" borderId="1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wrapText="1"/>
    </xf>
    <xf numFmtId="0" fontId="11" fillId="0" borderId="17" xfId="59" applyFont="1" applyFill="1" applyBorder="1" applyAlignment="1">
      <alignment wrapText="1"/>
      <protection/>
    </xf>
    <xf numFmtId="49" fontId="10" fillId="0" borderId="12" xfId="0" applyNumberFormat="1" applyFont="1" applyFill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164" fontId="10" fillId="0" borderId="11" xfId="0" applyNumberFormat="1" applyFont="1" applyFill="1" applyBorder="1" applyAlignment="1">
      <alignment horizontal="left" wrapText="1"/>
    </xf>
    <xf numFmtId="49" fontId="11" fillId="0" borderId="12" xfId="59" applyNumberFormat="1" applyFont="1" applyFill="1" applyBorder="1" applyAlignment="1">
      <alignment horizontal="left" wrapText="1"/>
      <protection/>
    </xf>
    <xf numFmtId="49" fontId="11" fillId="0" borderId="12" xfId="54" applyNumberFormat="1" applyFont="1" applyFill="1" applyBorder="1" applyAlignment="1">
      <alignment horizontal="left" wrapText="1"/>
      <protection/>
    </xf>
    <xf numFmtId="2" fontId="11" fillId="0" borderId="12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left" wrapText="1"/>
    </xf>
    <xf numFmtId="164" fontId="11" fillId="0" borderId="1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164" fontId="6" fillId="34" borderId="12" xfId="0" applyNumberFormat="1" applyFont="1" applyFill="1" applyBorder="1" applyAlignment="1">
      <alignment horizontal="center" wrapText="1"/>
    </xf>
    <xf numFmtId="164" fontId="8" fillId="3" borderId="12" xfId="0" applyNumberFormat="1" applyFont="1" applyFill="1" applyBorder="1" applyAlignment="1">
      <alignment wrapText="1"/>
    </xf>
    <xf numFmtId="164" fontId="8" fillId="2" borderId="12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wrapText="1"/>
    </xf>
    <xf numFmtId="164" fontId="6" fillId="35" borderId="12" xfId="0" applyNumberFormat="1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left" wrapText="1"/>
    </xf>
    <xf numFmtId="164" fontId="8" fillId="0" borderId="19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164" fontId="6" fillId="34" borderId="12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left"/>
    </xf>
    <xf numFmtId="164" fontId="7" fillId="2" borderId="12" xfId="0" applyNumberFormat="1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 horizontal="left"/>
    </xf>
    <xf numFmtId="164" fontId="8" fillId="0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left" wrapText="1"/>
    </xf>
    <xf numFmtId="164" fontId="20" fillId="35" borderId="12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164" fontId="6" fillId="0" borderId="22" xfId="0" applyNumberFormat="1" applyFont="1" applyFill="1" applyBorder="1" applyAlignment="1">
      <alignment wrapText="1"/>
    </xf>
    <xf numFmtId="164" fontId="9" fillId="0" borderId="15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11" fillId="0" borderId="17" xfId="55" applyFont="1" applyFill="1" applyBorder="1" applyAlignment="1">
      <alignment wrapText="1"/>
      <protection/>
    </xf>
    <xf numFmtId="49" fontId="11" fillId="0" borderId="12" xfId="0" applyNumberFormat="1" applyFont="1" applyFill="1" applyBorder="1" applyAlignment="1">
      <alignment horizontal="left" wrapText="1"/>
    </xf>
    <xf numFmtId="10" fontId="66" fillId="0" borderId="0" xfId="0" applyNumberFormat="1" applyFont="1" applyFill="1" applyAlignment="1">
      <alignment/>
    </xf>
    <xf numFmtId="9" fontId="66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49" fontId="11" fillId="0" borderId="17" xfId="0" applyNumberFormat="1" applyFont="1" applyFill="1" applyBorder="1" applyAlignment="1">
      <alignment wrapText="1"/>
    </xf>
    <xf numFmtId="49" fontId="11" fillId="0" borderId="12" xfId="56" applyNumberFormat="1" applyFont="1" applyFill="1" applyBorder="1" applyAlignment="1">
      <alignment horizontal="left" wrapText="1"/>
      <protection/>
    </xf>
    <xf numFmtId="2" fontId="11" fillId="0" borderId="15" xfId="0" applyNumberFormat="1" applyFont="1" applyFill="1" applyBorder="1" applyAlignment="1">
      <alignment horizontal="left" wrapText="1"/>
    </xf>
    <xf numFmtId="0" fontId="11" fillId="0" borderId="17" xfId="56" applyFont="1" applyFill="1" applyBorder="1" applyAlignment="1">
      <alignment wrapText="1"/>
      <protection/>
    </xf>
    <xf numFmtId="49" fontId="10" fillId="0" borderId="17" xfId="0" applyNumberFormat="1" applyFont="1" applyFill="1" applyBorder="1" applyAlignment="1">
      <alignment wrapText="1"/>
    </xf>
    <xf numFmtId="49" fontId="11" fillId="0" borderId="23" xfId="0" applyNumberFormat="1" applyFont="1" applyFill="1" applyBorder="1" applyAlignment="1">
      <alignment wrapText="1"/>
    </xf>
    <xf numFmtId="49" fontId="67" fillId="0" borderId="12" xfId="0" applyNumberFormat="1" applyFont="1" applyFill="1" applyBorder="1" applyAlignment="1">
      <alignment horizontal="left" wrapText="1"/>
    </xf>
    <xf numFmtId="0" fontId="68" fillId="0" borderId="17" xfId="0" applyFont="1" applyFill="1" applyBorder="1" applyAlignment="1">
      <alignment wrapText="1"/>
    </xf>
    <xf numFmtId="49" fontId="64" fillId="0" borderId="12" xfId="0" applyNumberFormat="1" applyFont="1" applyFill="1" applyBorder="1" applyAlignment="1">
      <alignment horizontal="left" wrapText="1"/>
    </xf>
    <xf numFmtId="0" fontId="68" fillId="0" borderId="24" xfId="0" applyFont="1" applyFill="1" applyBorder="1" applyAlignment="1">
      <alignment wrapText="1"/>
    </xf>
    <xf numFmtId="49" fontId="10" fillId="0" borderId="16" xfId="0" applyNumberFormat="1" applyFont="1" applyFill="1" applyBorder="1" applyAlignment="1">
      <alignment horizontal="left" wrapText="1"/>
    </xf>
    <xf numFmtId="164" fontId="10" fillId="0" borderId="13" xfId="0" applyNumberFormat="1" applyFont="1" applyFill="1" applyBorder="1" applyAlignment="1">
      <alignment horizontal="left" wrapText="1"/>
    </xf>
    <xf numFmtId="0" fontId="11" fillId="0" borderId="17" xfId="0" applyFont="1" applyFill="1" applyBorder="1" applyAlignment="1">
      <alignment wrapText="1"/>
    </xf>
    <xf numFmtId="49" fontId="65" fillId="0" borderId="15" xfId="0" applyNumberFormat="1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66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left" wrapText="1"/>
    </xf>
    <xf numFmtId="49" fontId="10" fillId="0" borderId="12" xfId="56" applyNumberFormat="1" applyFont="1" applyFill="1" applyBorder="1" applyAlignment="1">
      <alignment horizontal="left" wrapText="1"/>
      <protection/>
    </xf>
    <xf numFmtId="165" fontId="10" fillId="0" borderId="11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68" fillId="0" borderId="12" xfId="0" applyFont="1" applyFill="1" applyBorder="1" applyAlignment="1">
      <alignment wrapText="1"/>
    </xf>
    <xf numFmtId="49" fontId="68" fillId="0" borderId="12" xfId="0" applyNumberFormat="1" applyFont="1" applyFill="1" applyBorder="1" applyAlignment="1">
      <alignment horizontal="left" wrapText="1"/>
    </xf>
    <xf numFmtId="0" fontId="65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horizontal="left" wrapText="1"/>
    </xf>
    <xf numFmtId="9" fontId="61" fillId="0" borderId="0" xfId="0" applyNumberFormat="1" applyFont="1" applyFill="1" applyAlignment="1">
      <alignment/>
    </xf>
    <xf numFmtId="49" fontId="11" fillId="0" borderId="15" xfId="56" applyNumberFormat="1" applyFont="1" applyFill="1" applyBorder="1" applyAlignment="1">
      <alignment horizontal="left" wrapText="1"/>
      <protection/>
    </xf>
    <xf numFmtId="0" fontId="68" fillId="0" borderId="23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left" wrapText="1"/>
    </xf>
    <xf numFmtId="49" fontId="10" fillId="0" borderId="12" xfId="54" applyNumberFormat="1" applyFont="1" applyFill="1" applyBorder="1" applyAlignment="1">
      <alignment horizontal="left" wrapText="1"/>
      <protection/>
    </xf>
    <xf numFmtId="164" fontId="10" fillId="0" borderId="11" xfId="54" applyNumberFormat="1" applyFont="1" applyFill="1" applyBorder="1" applyAlignment="1">
      <alignment horizontal="left" wrapText="1"/>
      <protection/>
    </xf>
    <xf numFmtId="49" fontId="10" fillId="0" borderId="17" xfId="54" applyNumberFormat="1" applyFont="1" applyFill="1" applyBorder="1" applyAlignment="1">
      <alignment wrapText="1"/>
      <protection/>
    </xf>
    <xf numFmtId="0" fontId="69" fillId="0" borderId="17" xfId="0" applyFont="1" applyFill="1" applyBorder="1" applyAlignment="1">
      <alignment wrapText="1"/>
    </xf>
    <xf numFmtId="0" fontId="69" fillId="0" borderId="12" xfId="0" applyFont="1" applyFill="1" applyBorder="1" applyAlignment="1">
      <alignment wrapText="1"/>
    </xf>
    <xf numFmtId="49" fontId="10" fillId="0" borderId="12" xfId="57" applyNumberFormat="1" applyFont="1" applyFill="1" applyBorder="1" applyAlignment="1">
      <alignment horizontal="left" wrapText="1"/>
      <protection/>
    </xf>
    <xf numFmtId="49" fontId="10" fillId="0" borderId="15" xfId="57" applyNumberFormat="1" applyFont="1" applyFill="1" applyBorder="1" applyAlignment="1">
      <alignment horizontal="left" wrapText="1"/>
      <protection/>
    </xf>
    <xf numFmtId="0" fontId="17" fillId="0" borderId="12" xfId="0" applyFont="1" applyFill="1" applyBorder="1" applyAlignment="1">
      <alignment wrapText="1"/>
    </xf>
    <xf numFmtId="164" fontId="11" fillId="0" borderId="11" xfId="59" applyNumberFormat="1" applyFont="1" applyFill="1" applyBorder="1" applyAlignment="1">
      <alignment horizontal="left" wrapText="1"/>
      <protection/>
    </xf>
    <xf numFmtId="0" fontId="11" fillId="0" borderId="12" xfId="59" applyFont="1" applyFill="1" applyBorder="1" applyAlignment="1">
      <alignment wrapText="1"/>
      <protection/>
    </xf>
    <xf numFmtId="0" fontId="10" fillId="0" borderId="12" xfId="59" applyFont="1" applyFill="1" applyBorder="1" applyAlignment="1">
      <alignment wrapText="1"/>
      <protection/>
    </xf>
    <xf numFmtId="49" fontId="10" fillId="0" borderId="12" xfId="59" applyNumberFormat="1" applyFont="1" applyFill="1" applyBorder="1" applyAlignment="1">
      <alignment horizontal="left" wrapText="1"/>
      <protection/>
    </xf>
    <xf numFmtId="164" fontId="10" fillId="0" borderId="11" xfId="59" applyNumberFormat="1" applyFont="1" applyFill="1" applyBorder="1" applyAlignment="1">
      <alignment horizontal="left" wrapText="1"/>
      <protection/>
    </xf>
    <xf numFmtId="0" fontId="11" fillId="0" borderId="17" xfId="52" applyFont="1" applyFill="1" applyBorder="1" applyAlignment="1">
      <alignment wrapText="1"/>
      <protection/>
    </xf>
    <xf numFmtId="49" fontId="11" fillId="0" borderId="12" xfId="52" applyNumberFormat="1" applyFont="1" applyFill="1" applyBorder="1" applyAlignment="1">
      <alignment horizontal="left" wrapText="1"/>
      <protection/>
    </xf>
    <xf numFmtId="0" fontId="11" fillId="0" borderId="17" xfId="58" applyFont="1" applyFill="1" applyBorder="1" applyAlignment="1">
      <alignment wrapText="1"/>
      <protection/>
    </xf>
    <xf numFmtId="49" fontId="10" fillId="0" borderId="12" xfId="52" applyNumberFormat="1" applyFont="1" applyFill="1" applyBorder="1" applyAlignment="1">
      <alignment horizontal="left" wrapText="1"/>
      <protection/>
    </xf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 applyAlignment="1">
      <alignment horizontal="left" wrapText="1"/>
    </xf>
    <xf numFmtId="49" fontId="11" fillId="0" borderId="28" xfId="58" applyNumberFormat="1" applyFont="1" applyFill="1" applyBorder="1" applyAlignment="1">
      <alignment horizontal="left" wrapText="1"/>
      <protection/>
    </xf>
    <xf numFmtId="164" fontId="11" fillId="0" borderId="29" xfId="58" applyNumberFormat="1" applyFont="1" applyFill="1" applyBorder="1" applyAlignment="1">
      <alignment horizontal="left" wrapText="1"/>
      <protection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49" fontId="16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vertical="center" wrapText="1"/>
    </xf>
    <xf numFmtId="0" fontId="2" fillId="36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379"/>
  <sheetViews>
    <sheetView view="pageBreakPreview" zoomScale="75" zoomScaleNormal="90" zoomScaleSheetLayoutView="75" zoomScalePageLayoutView="0" workbookViewId="0" topLeftCell="A1">
      <selection activeCell="D6" sqref="D6"/>
    </sheetView>
  </sheetViews>
  <sheetFormatPr defaultColWidth="9.140625" defaultRowHeight="15"/>
  <cols>
    <col min="1" max="1" width="2.28125" style="51" customWidth="1"/>
    <col min="2" max="2" width="7.00390625" style="51" customWidth="1"/>
    <col min="3" max="3" width="60.140625" style="52" customWidth="1"/>
    <col min="4" max="4" width="24.7109375" style="51" customWidth="1"/>
    <col min="5" max="5" width="26.140625" style="51" customWidth="1"/>
    <col min="6" max="6" width="24.421875" style="51" customWidth="1"/>
    <col min="7" max="7" width="12.7109375" style="74" bestFit="1" customWidth="1"/>
    <col min="8" max="8" width="9.421875" style="74" bestFit="1" customWidth="1"/>
    <col min="9" max="16384" width="9.140625" style="51" customWidth="1"/>
  </cols>
  <sheetData>
    <row r="2" spans="4:8" s="47" customFormat="1" ht="21.75" customHeight="1">
      <c r="D2" s="48"/>
      <c r="E2" s="218" t="s">
        <v>296</v>
      </c>
      <c r="F2" s="218"/>
      <c r="G2" s="49"/>
      <c r="H2" s="49"/>
    </row>
    <row r="3" spans="4:8" s="47" customFormat="1" ht="21.75" customHeight="1">
      <c r="D3" s="48"/>
      <c r="E3" s="218" t="s">
        <v>297</v>
      </c>
      <c r="F3" s="218"/>
      <c r="G3" s="49"/>
      <c r="H3" s="49"/>
    </row>
    <row r="4" spans="4:8" s="47" customFormat="1" ht="31.5" customHeight="1">
      <c r="D4" s="48"/>
      <c r="E4" s="218" t="s">
        <v>298</v>
      </c>
      <c r="F4" s="218"/>
      <c r="G4" s="49"/>
      <c r="H4" s="49"/>
    </row>
    <row r="5" spans="4:8" s="47" customFormat="1" ht="38.25" customHeight="1">
      <c r="D5" s="48"/>
      <c r="E5" s="218" t="s">
        <v>295</v>
      </c>
      <c r="F5" s="218"/>
      <c r="G5" s="49"/>
      <c r="H5" s="49"/>
    </row>
    <row r="6" spans="7:8" s="47" customFormat="1" ht="18">
      <c r="G6" s="49"/>
      <c r="H6" s="49"/>
    </row>
    <row r="8" spans="2:8" ht="40.5" customHeight="1">
      <c r="B8" s="221" t="s">
        <v>232</v>
      </c>
      <c r="C8" s="221"/>
      <c r="D8" s="221"/>
      <c r="E8" s="221"/>
      <c r="F8" s="221"/>
      <c r="G8" s="50"/>
      <c r="H8" s="50"/>
    </row>
    <row r="9" spans="2:8" ht="18">
      <c r="B9" s="50"/>
      <c r="C9" s="52" t="s">
        <v>19</v>
      </c>
      <c r="D9" s="50"/>
      <c r="E9" s="50"/>
      <c r="F9" s="50"/>
      <c r="G9" s="50"/>
      <c r="H9" s="50"/>
    </row>
    <row r="10" spans="2:8" ht="18">
      <c r="B10" s="50"/>
      <c r="C10" s="50"/>
      <c r="D10" s="50"/>
      <c r="E10" s="50"/>
      <c r="F10" s="53" t="s">
        <v>0</v>
      </c>
      <c r="G10" s="50"/>
      <c r="H10" s="50"/>
    </row>
    <row r="11" spans="2:8" s="55" customFormat="1" ht="18">
      <c r="B11" s="219" t="s">
        <v>3</v>
      </c>
      <c r="C11" s="220" t="s">
        <v>1</v>
      </c>
      <c r="D11" s="219" t="s">
        <v>2</v>
      </c>
      <c r="E11" s="219" t="s">
        <v>4</v>
      </c>
      <c r="F11" s="219"/>
      <c r="G11" s="54"/>
      <c r="H11" s="54"/>
    </row>
    <row r="12" spans="2:8" s="55" customFormat="1" ht="18">
      <c r="B12" s="219"/>
      <c r="C12" s="220"/>
      <c r="D12" s="219"/>
      <c r="E12" s="56" t="s">
        <v>230</v>
      </c>
      <c r="F12" s="56" t="s">
        <v>233</v>
      </c>
      <c r="G12" s="54"/>
      <c r="H12" s="54"/>
    </row>
    <row r="13" spans="2:8" s="55" customFormat="1" ht="18.75" customHeight="1">
      <c r="B13" s="57">
        <v>1</v>
      </c>
      <c r="C13" s="58">
        <v>2</v>
      </c>
      <c r="D13" s="57">
        <v>3</v>
      </c>
      <c r="E13" s="57">
        <v>4</v>
      </c>
      <c r="F13" s="57">
        <v>5</v>
      </c>
      <c r="G13" s="54"/>
      <c r="H13" s="54"/>
    </row>
    <row r="14" spans="2:8" s="61" customFormat="1" ht="40.5" customHeight="1">
      <c r="B14" s="75" t="s">
        <v>5</v>
      </c>
      <c r="C14" s="76" t="s">
        <v>6</v>
      </c>
      <c r="D14" s="77">
        <f>D16+D19</f>
        <v>70038.20000000001</v>
      </c>
      <c r="E14" s="77">
        <f>E16+E19</f>
        <v>71825.9775</v>
      </c>
      <c r="F14" s="77">
        <f>F16+F19</f>
        <v>73648.69499999999</v>
      </c>
      <c r="G14" s="59">
        <v>1.025</v>
      </c>
      <c r="H14" s="60">
        <v>1.05</v>
      </c>
    </row>
    <row r="15" spans="2:8" s="61" customFormat="1" ht="17.25" customHeight="1">
      <c r="B15" s="78"/>
      <c r="C15" s="79" t="s">
        <v>20</v>
      </c>
      <c r="D15" s="80"/>
      <c r="E15" s="80"/>
      <c r="F15" s="80"/>
      <c r="G15" s="59">
        <v>1.025</v>
      </c>
      <c r="H15" s="60">
        <v>1.05</v>
      </c>
    </row>
    <row r="16" spans="2:8" s="65" customFormat="1" ht="38.25" customHeight="1">
      <c r="B16" s="81"/>
      <c r="C16" s="76" t="s">
        <v>7</v>
      </c>
      <c r="D16" s="77">
        <f>62666+4313.8+1367.3</f>
        <v>68347.1</v>
      </c>
      <c r="E16" s="77">
        <f>68347.1*102.5%</f>
        <v>70055.7775</v>
      </c>
      <c r="F16" s="77">
        <f>70055.8*102.5%</f>
        <v>71807.19499999999</v>
      </c>
      <c r="G16" s="63">
        <v>1.025</v>
      </c>
      <c r="H16" s="64">
        <v>1.05</v>
      </c>
    </row>
    <row r="17" spans="2:8" s="61" customFormat="1" ht="18" hidden="1">
      <c r="B17" s="78"/>
      <c r="C17" s="79" t="s">
        <v>8</v>
      </c>
      <c r="D17" s="80"/>
      <c r="E17" s="80"/>
      <c r="F17" s="80"/>
      <c r="G17" s="59">
        <v>1.025</v>
      </c>
      <c r="H17" s="60">
        <v>1.05</v>
      </c>
    </row>
    <row r="18" spans="2:8" s="68" customFormat="1" ht="30" customHeight="1" hidden="1">
      <c r="B18" s="82"/>
      <c r="C18" s="83" t="s">
        <v>21</v>
      </c>
      <c r="D18" s="84">
        <v>0</v>
      </c>
      <c r="E18" s="84">
        <f>D18*G18</f>
        <v>0</v>
      </c>
      <c r="F18" s="84">
        <f>E18*G18</f>
        <v>0</v>
      </c>
      <c r="G18" s="66">
        <v>1.025</v>
      </c>
      <c r="H18" s="67">
        <v>1.05</v>
      </c>
    </row>
    <row r="19" spans="2:8" s="65" customFormat="1" ht="32.25" customHeight="1">
      <c r="B19" s="81"/>
      <c r="C19" s="76" t="s">
        <v>9</v>
      </c>
      <c r="D19" s="77">
        <f>D21+D22+D24</f>
        <v>1691.1000000000001</v>
      </c>
      <c r="E19" s="77">
        <f>E21+E22+E24</f>
        <v>1770.2</v>
      </c>
      <c r="F19" s="77">
        <f>F21+F22+F24</f>
        <v>1841.5</v>
      </c>
      <c r="G19" s="63">
        <v>1.025</v>
      </c>
      <c r="H19" s="64">
        <v>1.05</v>
      </c>
    </row>
    <row r="20" spans="2:8" s="61" customFormat="1" ht="30" customHeight="1">
      <c r="B20" s="78"/>
      <c r="C20" s="79" t="s">
        <v>20</v>
      </c>
      <c r="D20" s="80"/>
      <c r="E20" s="85"/>
      <c r="F20" s="85"/>
      <c r="G20" s="59">
        <v>1.025</v>
      </c>
      <c r="H20" s="60">
        <v>1.05</v>
      </c>
    </row>
    <row r="21" spans="2:8" s="68" customFormat="1" ht="104.25" customHeight="1">
      <c r="B21" s="82"/>
      <c r="C21" s="83" t="s">
        <v>108</v>
      </c>
      <c r="D21" s="84">
        <f>1679.9+11.2</f>
        <v>1691.1000000000001</v>
      </c>
      <c r="E21" s="84">
        <v>1770.2</v>
      </c>
      <c r="F21" s="84">
        <v>1841.5</v>
      </c>
      <c r="G21" s="66"/>
      <c r="H21" s="67"/>
    </row>
    <row r="22" spans="2:8" s="68" customFormat="1" ht="57" customHeight="1" hidden="1">
      <c r="B22" s="82"/>
      <c r="C22" s="83" t="s">
        <v>109</v>
      </c>
      <c r="D22" s="84">
        <v>0</v>
      </c>
      <c r="E22" s="84">
        <v>0</v>
      </c>
      <c r="F22" s="84">
        <v>0</v>
      </c>
      <c r="G22" s="66">
        <v>1.025</v>
      </c>
      <c r="H22" s="67">
        <v>1.05</v>
      </c>
    </row>
    <row r="23" spans="2:8" s="68" customFormat="1" ht="6.75" customHeight="1" hidden="1">
      <c r="B23" s="82"/>
      <c r="C23" s="83"/>
      <c r="D23" s="84"/>
      <c r="E23" s="84"/>
      <c r="F23" s="84"/>
      <c r="G23" s="66">
        <v>1.025</v>
      </c>
      <c r="H23" s="67">
        <v>1.05</v>
      </c>
    </row>
    <row r="24" spans="2:8" s="68" customFormat="1" ht="51.75" customHeight="1" hidden="1">
      <c r="B24" s="82"/>
      <c r="C24" s="86" t="s">
        <v>29</v>
      </c>
      <c r="D24" s="87">
        <f>0</f>
        <v>0</v>
      </c>
      <c r="E24" s="84">
        <f>0</f>
        <v>0</v>
      </c>
      <c r="F24" s="84">
        <f>0</f>
        <v>0</v>
      </c>
      <c r="G24" s="66"/>
      <c r="H24" s="67"/>
    </row>
    <row r="25" spans="2:8" s="61" customFormat="1" ht="44.25" customHeight="1">
      <c r="B25" s="75" t="s">
        <v>10</v>
      </c>
      <c r="C25" s="76" t="s">
        <v>11</v>
      </c>
      <c r="D25" s="77">
        <f>70038.2</f>
        <v>70038.2</v>
      </c>
      <c r="E25" s="77">
        <f>'Расх КВСР-ФСР-ЦСР нов'!K268</f>
        <v>71825.99250000001</v>
      </c>
      <c r="F25" s="77">
        <f>'Расх КВСР-ФСР-ЦСР нов'!L268</f>
        <v>73648.685</v>
      </c>
      <c r="G25" s="59">
        <v>1.025</v>
      </c>
      <c r="H25" s="60">
        <v>1.05</v>
      </c>
    </row>
    <row r="26" spans="2:8" s="61" customFormat="1" ht="31.5" customHeight="1">
      <c r="B26" s="78"/>
      <c r="C26" s="79" t="s">
        <v>20</v>
      </c>
      <c r="D26" s="80"/>
      <c r="E26" s="80"/>
      <c r="F26" s="80"/>
      <c r="G26" s="59">
        <v>1.025</v>
      </c>
      <c r="H26" s="60">
        <v>1.05</v>
      </c>
    </row>
    <row r="27" spans="2:8" s="65" customFormat="1" ht="52.5" customHeight="1" hidden="1">
      <c r="B27" s="81"/>
      <c r="C27" s="76" t="s">
        <v>107</v>
      </c>
      <c r="D27" s="77">
        <f>D29</f>
        <v>0</v>
      </c>
      <c r="E27" s="77">
        <f>E29</f>
        <v>0</v>
      </c>
      <c r="F27" s="77">
        <f>F29</f>
        <v>0</v>
      </c>
      <c r="G27" s="63">
        <v>1.025</v>
      </c>
      <c r="H27" s="64">
        <v>1.05</v>
      </c>
    </row>
    <row r="28" spans="2:8" s="61" customFormat="1" ht="28.5" customHeight="1" hidden="1">
      <c r="B28" s="78"/>
      <c r="C28" s="79" t="s">
        <v>8</v>
      </c>
      <c r="D28" s="80"/>
      <c r="E28" s="80"/>
      <c r="F28" s="80"/>
      <c r="G28" s="59">
        <v>1.025</v>
      </c>
      <c r="H28" s="60">
        <v>1.05</v>
      </c>
    </row>
    <row r="29" spans="2:8" s="65" customFormat="1" ht="72.75" customHeight="1" hidden="1">
      <c r="B29" s="81"/>
      <c r="C29" s="86" t="s">
        <v>110</v>
      </c>
      <c r="D29" s="77">
        <v>0</v>
      </c>
      <c r="E29" s="77">
        <v>0</v>
      </c>
      <c r="F29" s="77">
        <v>0</v>
      </c>
      <c r="G29" s="63">
        <v>1.025</v>
      </c>
      <c r="H29" s="64">
        <v>1.05</v>
      </c>
    </row>
    <row r="30" spans="2:8" s="61" customFormat="1" ht="8.25" customHeight="1">
      <c r="B30" s="78"/>
      <c r="C30" s="88"/>
      <c r="D30" s="80"/>
      <c r="E30" s="80"/>
      <c r="F30" s="80"/>
      <c r="G30" s="59">
        <v>1.025</v>
      </c>
      <c r="H30" s="60">
        <v>1.05</v>
      </c>
    </row>
    <row r="31" spans="2:8" s="61" customFormat="1" ht="26.25" customHeight="1">
      <c r="B31" s="75" t="s">
        <v>12</v>
      </c>
      <c r="C31" s="76" t="s">
        <v>13</v>
      </c>
      <c r="D31" s="77">
        <f>D14-D25</f>
        <v>0</v>
      </c>
      <c r="E31" s="77">
        <f>E14-E25</f>
        <v>-0.015000000013969839</v>
      </c>
      <c r="F31" s="77">
        <f>F14-F25</f>
        <v>0.00999999999476131</v>
      </c>
      <c r="G31" s="59">
        <v>1.025</v>
      </c>
      <c r="H31" s="60">
        <v>1.05</v>
      </c>
    </row>
    <row r="32" spans="2:8" s="61" customFormat="1" ht="44.25" customHeight="1">
      <c r="B32" s="75" t="s">
        <v>14</v>
      </c>
      <c r="C32" s="76" t="s">
        <v>22</v>
      </c>
      <c r="D32" s="77">
        <f>D34+D37+D40+D43+D44</f>
        <v>0</v>
      </c>
      <c r="E32" s="77">
        <f>E34+E37+E40+E43+E44</f>
        <v>0</v>
      </c>
      <c r="F32" s="77">
        <f>F34+F37+F40+F43+F44</f>
        <v>0</v>
      </c>
      <c r="G32" s="59">
        <v>1.025</v>
      </c>
      <c r="H32" s="60">
        <v>1.05</v>
      </c>
    </row>
    <row r="33" spans="2:8" s="61" customFormat="1" ht="18">
      <c r="B33" s="78"/>
      <c r="C33" s="79" t="s">
        <v>8</v>
      </c>
      <c r="D33" s="80"/>
      <c r="E33" s="80"/>
      <c r="F33" s="80"/>
      <c r="G33" s="59">
        <v>1.025</v>
      </c>
      <c r="H33" s="60">
        <v>1.05</v>
      </c>
    </row>
    <row r="34" spans="2:8" s="65" customFormat="1" ht="24" customHeight="1">
      <c r="B34" s="81"/>
      <c r="C34" s="76" t="s">
        <v>25</v>
      </c>
      <c r="D34" s="77">
        <f>D35+D36</f>
        <v>0</v>
      </c>
      <c r="E34" s="77">
        <f>E35+E36</f>
        <v>0</v>
      </c>
      <c r="F34" s="77">
        <f>F35+F36</f>
        <v>0</v>
      </c>
      <c r="G34" s="63">
        <v>1.025</v>
      </c>
      <c r="H34" s="64">
        <v>1.05</v>
      </c>
    </row>
    <row r="35" spans="2:8" s="61" customFormat="1" ht="18" customHeight="1">
      <c r="B35" s="78"/>
      <c r="C35" s="83" t="s">
        <v>15</v>
      </c>
      <c r="D35" s="80"/>
      <c r="E35" s="80"/>
      <c r="F35" s="80"/>
      <c r="G35" s="59">
        <v>1.025</v>
      </c>
      <c r="H35" s="60">
        <v>1.05</v>
      </c>
    </row>
    <row r="36" spans="2:8" s="61" customFormat="1" ht="17.25" customHeight="1">
      <c r="B36" s="78"/>
      <c r="C36" s="83" t="s">
        <v>16</v>
      </c>
      <c r="D36" s="80"/>
      <c r="E36" s="80"/>
      <c r="F36" s="80"/>
      <c r="G36" s="59">
        <v>1.025</v>
      </c>
      <c r="H36" s="60">
        <v>1.05</v>
      </c>
    </row>
    <row r="37" spans="2:8" s="65" customFormat="1" ht="39.75" customHeight="1">
      <c r="B37" s="81"/>
      <c r="C37" s="76" t="s">
        <v>26</v>
      </c>
      <c r="D37" s="89">
        <f>D38+D39</f>
        <v>0</v>
      </c>
      <c r="E37" s="89">
        <f>E38+E39</f>
        <v>0</v>
      </c>
      <c r="F37" s="89">
        <f>F38+F39</f>
        <v>0</v>
      </c>
      <c r="G37" s="63">
        <v>1.025</v>
      </c>
      <c r="H37" s="64">
        <v>1.05</v>
      </c>
    </row>
    <row r="38" spans="2:8" s="61" customFormat="1" ht="18" customHeight="1">
      <c r="B38" s="78"/>
      <c r="C38" s="83" t="s">
        <v>15</v>
      </c>
      <c r="D38" s="90"/>
      <c r="E38" s="90"/>
      <c r="F38" s="90"/>
      <c r="G38" s="59">
        <v>1.025</v>
      </c>
      <c r="H38" s="60">
        <v>1.05</v>
      </c>
    </row>
    <row r="39" spans="2:8" s="61" customFormat="1" ht="19.5" customHeight="1">
      <c r="B39" s="78"/>
      <c r="C39" s="83" t="s">
        <v>16</v>
      </c>
      <c r="D39" s="91"/>
      <c r="E39" s="90"/>
      <c r="F39" s="90"/>
      <c r="G39" s="59">
        <v>1.025</v>
      </c>
      <c r="H39" s="60">
        <v>1.05</v>
      </c>
    </row>
    <row r="40" spans="2:8" s="65" customFormat="1" ht="33" customHeight="1" hidden="1">
      <c r="B40" s="81"/>
      <c r="C40" s="76" t="s">
        <v>27</v>
      </c>
      <c r="D40" s="89">
        <v>0</v>
      </c>
      <c r="E40" s="89">
        <v>0</v>
      </c>
      <c r="F40" s="89">
        <v>0</v>
      </c>
      <c r="G40" s="69">
        <v>1.025</v>
      </c>
      <c r="H40" s="64">
        <v>1.05</v>
      </c>
    </row>
    <row r="41" spans="2:8" s="61" customFormat="1" ht="18.75" customHeight="1" hidden="1">
      <c r="B41" s="78"/>
      <c r="C41" s="83" t="s">
        <v>23</v>
      </c>
      <c r="D41" s="90"/>
      <c r="E41" s="90"/>
      <c r="F41" s="90"/>
      <c r="G41" s="70">
        <v>1.025</v>
      </c>
      <c r="H41" s="60">
        <v>1.05</v>
      </c>
    </row>
    <row r="42" spans="2:8" s="61" customFormat="1" ht="21" customHeight="1" hidden="1">
      <c r="B42" s="78"/>
      <c r="C42" s="83" t="s">
        <v>24</v>
      </c>
      <c r="D42" s="90"/>
      <c r="E42" s="90"/>
      <c r="F42" s="90"/>
      <c r="G42" s="70">
        <v>1.025</v>
      </c>
      <c r="H42" s="60">
        <v>1.05</v>
      </c>
    </row>
    <row r="43" spans="2:8" s="65" customFormat="1" ht="37.5" customHeight="1">
      <c r="B43" s="81"/>
      <c r="C43" s="76" t="s">
        <v>28</v>
      </c>
      <c r="D43" s="92"/>
      <c r="E43" s="92"/>
      <c r="F43" s="92"/>
      <c r="G43" s="69">
        <v>1.025</v>
      </c>
      <c r="H43" s="64">
        <v>1.05</v>
      </c>
    </row>
    <row r="44" spans="2:8" s="65" customFormat="1" ht="24" customHeight="1">
      <c r="B44" s="81"/>
      <c r="C44" s="76" t="s">
        <v>17</v>
      </c>
      <c r="D44" s="92">
        <f>0</f>
        <v>0</v>
      </c>
      <c r="E44" s="92">
        <f>0</f>
        <v>0</v>
      </c>
      <c r="F44" s="92">
        <f>0</f>
        <v>0</v>
      </c>
      <c r="G44" s="69"/>
      <c r="H44" s="64"/>
    </row>
    <row r="45" spans="2:8" s="61" customFormat="1" ht="8.25" customHeight="1">
      <c r="B45" s="78"/>
      <c r="C45" s="79"/>
      <c r="D45" s="90"/>
      <c r="E45" s="93"/>
      <c r="F45" s="93"/>
      <c r="G45" s="70">
        <v>1.025</v>
      </c>
      <c r="H45" s="60">
        <v>1.05</v>
      </c>
    </row>
    <row r="46" spans="2:8" s="65" customFormat="1" ht="32.25" customHeight="1">
      <c r="B46" s="75" t="s">
        <v>18</v>
      </c>
      <c r="C46" s="76" t="s">
        <v>141</v>
      </c>
      <c r="D46" s="92">
        <f>D16</f>
        <v>68347.1</v>
      </c>
      <c r="E46" s="92">
        <f>E16</f>
        <v>70055.7775</v>
      </c>
      <c r="F46" s="92">
        <f>F16</f>
        <v>71807.19499999999</v>
      </c>
      <c r="G46" s="69">
        <v>1.025</v>
      </c>
      <c r="H46" s="64">
        <v>1.05</v>
      </c>
    </row>
    <row r="47" spans="3:8" s="61" customFormat="1" ht="18">
      <c r="C47" s="62"/>
      <c r="E47" s="71"/>
      <c r="F47" s="71"/>
      <c r="G47" s="72"/>
      <c r="H47" s="72"/>
    </row>
    <row r="48" spans="3:8" s="61" customFormat="1" ht="18">
      <c r="C48" s="62"/>
      <c r="E48" s="71"/>
      <c r="F48" s="71"/>
      <c r="G48" s="72"/>
      <c r="H48" s="72"/>
    </row>
    <row r="49" spans="3:8" s="61" customFormat="1" ht="18">
      <c r="C49" s="62"/>
      <c r="E49" s="71"/>
      <c r="F49" s="71"/>
      <c r="G49" s="72"/>
      <c r="H49" s="72"/>
    </row>
    <row r="50" spans="2:8" s="61" customFormat="1" ht="18">
      <c r="B50" s="213"/>
      <c r="C50" s="213"/>
      <c r="E50" s="71"/>
      <c r="F50" s="71"/>
      <c r="G50" s="72"/>
      <c r="H50" s="72"/>
    </row>
    <row r="51" spans="2:8" s="61" customFormat="1" ht="18">
      <c r="B51" s="213"/>
      <c r="C51" s="215" t="s">
        <v>292</v>
      </c>
      <c r="E51" s="71"/>
      <c r="F51" s="71"/>
      <c r="G51" s="72"/>
      <c r="H51" s="72"/>
    </row>
    <row r="52" spans="3:8" s="61" customFormat="1" ht="18">
      <c r="C52" s="214" t="s">
        <v>294</v>
      </c>
      <c r="E52" s="216" t="s">
        <v>293</v>
      </c>
      <c r="F52" s="71"/>
      <c r="G52" s="72"/>
      <c r="H52" s="72"/>
    </row>
    <row r="53" spans="3:8" s="61" customFormat="1" ht="18">
      <c r="C53" s="62"/>
      <c r="E53" s="71"/>
      <c r="F53" s="71"/>
      <c r="G53" s="72"/>
      <c r="H53" s="72"/>
    </row>
    <row r="54" spans="3:8" s="61" customFormat="1" ht="18">
      <c r="C54" s="62"/>
      <c r="E54" s="71"/>
      <c r="F54" s="71"/>
      <c r="G54" s="72"/>
      <c r="H54" s="72"/>
    </row>
    <row r="55" spans="3:8" s="61" customFormat="1" ht="18">
      <c r="C55" s="62"/>
      <c r="E55" s="71"/>
      <c r="F55" s="71"/>
      <c r="G55" s="72"/>
      <c r="H55" s="72"/>
    </row>
    <row r="56" spans="3:8" s="61" customFormat="1" ht="18">
      <c r="C56" s="62"/>
      <c r="E56" s="71"/>
      <c r="F56" s="71"/>
      <c r="G56" s="72"/>
      <c r="H56" s="72"/>
    </row>
    <row r="57" spans="3:8" s="61" customFormat="1" ht="18">
      <c r="C57" s="62"/>
      <c r="E57" s="71"/>
      <c r="F57" s="71"/>
      <c r="G57" s="72"/>
      <c r="H57" s="72"/>
    </row>
    <row r="58" spans="3:8" s="61" customFormat="1" ht="18">
      <c r="C58" s="62"/>
      <c r="E58" s="71"/>
      <c r="F58" s="71"/>
      <c r="G58" s="72"/>
      <c r="H58" s="72"/>
    </row>
    <row r="59" spans="3:8" s="61" customFormat="1" ht="18">
      <c r="C59" s="62"/>
      <c r="E59" s="71"/>
      <c r="F59" s="71"/>
      <c r="G59" s="72"/>
      <c r="H59" s="72"/>
    </row>
    <row r="60" spans="3:8" s="61" customFormat="1" ht="18">
      <c r="C60" s="62"/>
      <c r="E60" s="71"/>
      <c r="F60" s="71"/>
      <c r="G60" s="72"/>
      <c r="H60" s="72"/>
    </row>
    <row r="61" spans="3:8" s="61" customFormat="1" ht="18">
      <c r="C61" s="62"/>
      <c r="E61" s="71"/>
      <c r="F61" s="71"/>
      <c r="G61" s="72"/>
      <c r="H61" s="72"/>
    </row>
    <row r="62" spans="3:8" s="61" customFormat="1" ht="18">
      <c r="C62" s="62"/>
      <c r="E62" s="71"/>
      <c r="F62" s="71"/>
      <c r="G62" s="72"/>
      <c r="H62" s="72"/>
    </row>
    <row r="63" spans="3:8" s="61" customFormat="1" ht="18">
      <c r="C63" s="62"/>
      <c r="E63" s="71"/>
      <c r="F63" s="71"/>
      <c r="G63" s="72"/>
      <c r="H63" s="72"/>
    </row>
    <row r="64" spans="3:8" s="61" customFormat="1" ht="18">
      <c r="C64" s="62"/>
      <c r="E64" s="71"/>
      <c r="F64" s="71"/>
      <c r="G64" s="72"/>
      <c r="H64" s="72"/>
    </row>
    <row r="65" spans="3:8" s="61" customFormat="1" ht="18">
      <c r="C65" s="62"/>
      <c r="E65" s="71"/>
      <c r="F65" s="71"/>
      <c r="G65" s="72"/>
      <c r="H65" s="72"/>
    </row>
    <row r="66" spans="3:8" s="61" customFormat="1" ht="18">
      <c r="C66" s="62"/>
      <c r="E66" s="71"/>
      <c r="F66" s="71"/>
      <c r="G66" s="72"/>
      <c r="H66" s="72"/>
    </row>
    <row r="67" spans="3:8" s="61" customFormat="1" ht="18">
      <c r="C67" s="62"/>
      <c r="E67" s="71"/>
      <c r="F67" s="71"/>
      <c r="G67" s="72"/>
      <c r="H67" s="72"/>
    </row>
    <row r="68" spans="3:8" s="61" customFormat="1" ht="18">
      <c r="C68" s="62"/>
      <c r="E68" s="71"/>
      <c r="F68" s="71"/>
      <c r="G68" s="72"/>
      <c r="H68" s="72"/>
    </row>
    <row r="69" spans="3:8" s="61" customFormat="1" ht="18">
      <c r="C69" s="62"/>
      <c r="E69" s="71"/>
      <c r="F69" s="71"/>
      <c r="G69" s="72"/>
      <c r="H69" s="72"/>
    </row>
    <row r="70" spans="3:8" s="61" customFormat="1" ht="18">
      <c r="C70" s="62"/>
      <c r="E70" s="71"/>
      <c r="F70" s="71"/>
      <c r="G70" s="72"/>
      <c r="H70" s="72"/>
    </row>
    <row r="71" spans="3:8" s="61" customFormat="1" ht="18">
      <c r="C71" s="62"/>
      <c r="E71" s="71"/>
      <c r="F71" s="71"/>
      <c r="G71" s="72"/>
      <c r="H71" s="72"/>
    </row>
    <row r="72" spans="3:8" s="61" customFormat="1" ht="18">
      <c r="C72" s="62"/>
      <c r="E72" s="71"/>
      <c r="F72" s="71"/>
      <c r="G72" s="72"/>
      <c r="H72" s="72"/>
    </row>
    <row r="73" spans="3:8" s="61" customFormat="1" ht="18">
      <c r="C73" s="62"/>
      <c r="E73" s="71"/>
      <c r="F73" s="71"/>
      <c r="G73" s="72"/>
      <c r="H73" s="72"/>
    </row>
    <row r="74" spans="3:8" s="61" customFormat="1" ht="18">
      <c r="C74" s="62"/>
      <c r="E74" s="71"/>
      <c r="F74" s="71"/>
      <c r="G74" s="72"/>
      <c r="H74" s="72"/>
    </row>
    <row r="75" spans="3:8" s="61" customFormat="1" ht="18">
      <c r="C75" s="62"/>
      <c r="E75" s="71"/>
      <c r="F75" s="71"/>
      <c r="G75" s="72"/>
      <c r="H75" s="72"/>
    </row>
    <row r="76" spans="3:8" s="61" customFormat="1" ht="18">
      <c r="C76" s="62"/>
      <c r="E76" s="71"/>
      <c r="F76" s="71"/>
      <c r="G76" s="72"/>
      <c r="H76" s="72"/>
    </row>
    <row r="77" spans="3:8" s="61" customFormat="1" ht="18">
      <c r="C77" s="62"/>
      <c r="E77" s="71"/>
      <c r="F77" s="71"/>
      <c r="G77" s="72"/>
      <c r="H77" s="72"/>
    </row>
    <row r="78" spans="3:8" s="61" customFormat="1" ht="18">
      <c r="C78" s="62"/>
      <c r="E78" s="71"/>
      <c r="F78" s="71"/>
      <c r="G78" s="72"/>
      <c r="H78" s="72"/>
    </row>
    <row r="79" spans="3:8" s="61" customFormat="1" ht="18">
      <c r="C79" s="62"/>
      <c r="E79" s="71"/>
      <c r="F79" s="71"/>
      <c r="G79" s="72"/>
      <c r="H79" s="72"/>
    </row>
    <row r="80" spans="3:8" s="61" customFormat="1" ht="18">
      <c r="C80" s="62"/>
      <c r="E80" s="71"/>
      <c r="F80" s="71"/>
      <c r="G80" s="72"/>
      <c r="H80" s="72"/>
    </row>
    <row r="81" spans="3:8" s="61" customFormat="1" ht="18">
      <c r="C81" s="62"/>
      <c r="E81" s="71"/>
      <c r="F81" s="71"/>
      <c r="G81" s="72"/>
      <c r="H81" s="72"/>
    </row>
    <row r="82" spans="3:8" s="61" customFormat="1" ht="18">
      <c r="C82" s="62"/>
      <c r="E82" s="71"/>
      <c r="F82" s="71"/>
      <c r="G82" s="72"/>
      <c r="H82" s="72"/>
    </row>
    <row r="83" spans="3:8" s="61" customFormat="1" ht="18">
      <c r="C83" s="62"/>
      <c r="E83" s="71"/>
      <c r="F83" s="71"/>
      <c r="G83" s="72"/>
      <c r="H83" s="72"/>
    </row>
    <row r="84" spans="3:8" s="61" customFormat="1" ht="18">
      <c r="C84" s="62"/>
      <c r="E84" s="71"/>
      <c r="F84" s="71"/>
      <c r="G84" s="72"/>
      <c r="H84" s="72"/>
    </row>
    <row r="85" spans="3:8" s="61" customFormat="1" ht="18">
      <c r="C85" s="62"/>
      <c r="E85" s="71"/>
      <c r="F85" s="71"/>
      <c r="G85" s="72"/>
      <c r="H85" s="72"/>
    </row>
    <row r="86" spans="3:8" s="61" customFormat="1" ht="18">
      <c r="C86" s="62"/>
      <c r="E86" s="71"/>
      <c r="F86" s="71"/>
      <c r="G86" s="72"/>
      <c r="H86" s="72"/>
    </row>
    <row r="87" spans="3:8" s="61" customFormat="1" ht="18">
      <c r="C87" s="62"/>
      <c r="E87" s="71"/>
      <c r="F87" s="71"/>
      <c r="G87" s="72"/>
      <c r="H87" s="72"/>
    </row>
    <row r="88" spans="3:8" s="61" customFormat="1" ht="18">
      <c r="C88" s="62"/>
      <c r="E88" s="71"/>
      <c r="F88" s="71"/>
      <c r="G88" s="72"/>
      <c r="H88" s="72"/>
    </row>
    <row r="89" spans="3:8" s="61" customFormat="1" ht="18">
      <c r="C89" s="62"/>
      <c r="E89" s="71"/>
      <c r="F89" s="71"/>
      <c r="G89" s="72"/>
      <c r="H89" s="72"/>
    </row>
    <row r="90" spans="3:8" s="61" customFormat="1" ht="18">
      <c r="C90" s="62"/>
      <c r="E90" s="71"/>
      <c r="F90" s="71"/>
      <c r="G90" s="72"/>
      <c r="H90" s="72"/>
    </row>
    <row r="91" spans="3:8" s="61" customFormat="1" ht="18">
      <c r="C91" s="62"/>
      <c r="E91" s="71"/>
      <c r="F91" s="71"/>
      <c r="G91" s="72"/>
      <c r="H91" s="72"/>
    </row>
    <row r="92" spans="3:8" s="61" customFormat="1" ht="18">
      <c r="C92" s="62"/>
      <c r="E92" s="71"/>
      <c r="F92" s="71"/>
      <c r="G92" s="72"/>
      <c r="H92" s="72"/>
    </row>
    <row r="93" spans="3:8" s="61" customFormat="1" ht="18">
      <c r="C93" s="62"/>
      <c r="E93" s="71"/>
      <c r="F93" s="71"/>
      <c r="G93" s="72"/>
      <c r="H93" s="72"/>
    </row>
    <row r="94" spans="3:8" s="61" customFormat="1" ht="18">
      <c r="C94" s="62"/>
      <c r="E94" s="71"/>
      <c r="F94" s="71"/>
      <c r="G94" s="72"/>
      <c r="H94" s="72"/>
    </row>
    <row r="95" spans="3:8" s="61" customFormat="1" ht="18">
      <c r="C95" s="62"/>
      <c r="E95" s="71"/>
      <c r="F95" s="71"/>
      <c r="G95" s="72"/>
      <c r="H95" s="72"/>
    </row>
    <row r="96" spans="3:8" s="61" customFormat="1" ht="18">
      <c r="C96" s="62"/>
      <c r="E96" s="71"/>
      <c r="F96" s="71"/>
      <c r="G96" s="72"/>
      <c r="H96" s="72"/>
    </row>
    <row r="97" spans="3:8" s="61" customFormat="1" ht="18">
      <c r="C97" s="62"/>
      <c r="E97" s="71"/>
      <c r="F97" s="71"/>
      <c r="G97" s="72"/>
      <c r="H97" s="72"/>
    </row>
    <row r="98" spans="3:8" s="61" customFormat="1" ht="18">
      <c r="C98" s="62"/>
      <c r="E98" s="71"/>
      <c r="F98" s="71"/>
      <c r="G98" s="72"/>
      <c r="H98" s="72"/>
    </row>
    <row r="99" spans="3:8" s="61" customFormat="1" ht="18">
      <c r="C99" s="62"/>
      <c r="E99" s="71"/>
      <c r="F99" s="71"/>
      <c r="G99" s="72"/>
      <c r="H99" s="72"/>
    </row>
    <row r="100" spans="3:8" s="61" customFormat="1" ht="18">
      <c r="C100" s="62"/>
      <c r="E100" s="71"/>
      <c r="F100" s="71"/>
      <c r="G100" s="72"/>
      <c r="H100" s="72"/>
    </row>
    <row r="101" spans="3:8" s="61" customFormat="1" ht="18">
      <c r="C101" s="62"/>
      <c r="E101" s="71"/>
      <c r="F101" s="71"/>
      <c r="G101" s="72"/>
      <c r="H101" s="72"/>
    </row>
    <row r="102" spans="3:8" s="61" customFormat="1" ht="18">
      <c r="C102" s="62"/>
      <c r="E102" s="71"/>
      <c r="F102" s="71"/>
      <c r="G102" s="72"/>
      <c r="H102" s="72"/>
    </row>
    <row r="103" spans="3:8" s="61" customFormat="1" ht="18">
      <c r="C103" s="62"/>
      <c r="E103" s="71"/>
      <c r="F103" s="71"/>
      <c r="G103" s="72"/>
      <c r="H103" s="72"/>
    </row>
    <row r="104" spans="3:8" s="61" customFormat="1" ht="18">
      <c r="C104" s="62"/>
      <c r="E104" s="71"/>
      <c r="F104" s="71"/>
      <c r="G104" s="72"/>
      <c r="H104" s="72"/>
    </row>
    <row r="105" spans="3:8" s="61" customFormat="1" ht="18">
      <c r="C105" s="62"/>
      <c r="E105" s="71"/>
      <c r="F105" s="71"/>
      <c r="G105" s="72"/>
      <c r="H105" s="72"/>
    </row>
    <row r="106" spans="3:8" s="61" customFormat="1" ht="18">
      <c r="C106" s="62"/>
      <c r="E106" s="71"/>
      <c r="F106" s="71"/>
      <c r="G106" s="72"/>
      <c r="H106" s="72"/>
    </row>
    <row r="107" spans="3:8" s="61" customFormat="1" ht="18">
      <c r="C107" s="62"/>
      <c r="E107" s="71"/>
      <c r="F107" s="71"/>
      <c r="G107" s="72"/>
      <c r="H107" s="72"/>
    </row>
    <row r="108" spans="3:8" s="61" customFormat="1" ht="18">
      <c r="C108" s="62"/>
      <c r="E108" s="71"/>
      <c r="F108" s="71"/>
      <c r="G108" s="72"/>
      <c r="H108" s="72"/>
    </row>
    <row r="109" spans="3:8" s="61" customFormat="1" ht="18">
      <c r="C109" s="62"/>
      <c r="E109" s="71"/>
      <c r="F109" s="71"/>
      <c r="G109" s="72"/>
      <c r="H109" s="72"/>
    </row>
    <row r="110" spans="3:8" s="61" customFormat="1" ht="18">
      <c r="C110" s="62"/>
      <c r="E110" s="71"/>
      <c r="F110" s="71"/>
      <c r="G110" s="72"/>
      <c r="H110" s="72"/>
    </row>
    <row r="111" spans="3:8" s="61" customFormat="1" ht="18">
      <c r="C111" s="62"/>
      <c r="E111" s="71"/>
      <c r="F111" s="71"/>
      <c r="G111" s="72"/>
      <c r="H111" s="72"/>
    </row>
    <row r="112" spans="3:8" s="61" customFormat="1" ht="18">
      <c r="C112" s="62"/>
      <c r="E112" s="71"/>
      <c r="F112" s="71"/>
      <c r="G112" s="72"/>
      <c r="H112" s="72"/>
    </row>
    <row r="113" spans="3:8" s="61" customFormat="1" ht="18">
      <c r="C113" s="62"/>
      <c r="E113" s="71"/>
      <c r="F113" s="71"/>
      <c r="G113" s="72"/>
      <c r="H113" s="72"/>
    </row>
    <row r="114" spans="3:8" s="61" customFormat="1" ht="18">
      <c r="C114" s="62"/>
      <c r="E114" s="71"/>
      <c r="F114" s="71"/>
      <c r="G114" s="72"/>
      <c r="H114" s="72"/>
    </row>
    <row r="115" spans="3:8" s="61" customFormat="1" ht="18">
      <c r="C115" s="62"/>
      <c r="E115" s="71"/>
      <c r="F115" s="71"/>
      <c r="G115" s="72"/>
      <c r="H115" s="72"/>
    </row>
    <row r="116" spans="3:8" s="61" customFormat="1" ht="18">
      <c r="C116" s="62"/>
      <c r="E116" s="71"/>
      <c r="F116" s="71"/>
      <c r="G116" s="72"/>
      <c r="H116" s="72"/>
    </row>
    <row r="117" spans="3:8" s="61" customFormat="1" ht="18">
      <c r="C117" s="62"/>
      <c r="E117" s="71"/>
      <c r="F117" s="71"/>
      <c r="G117" s="72"/>
      <c r="H117" s="72"/>
    </row>
    <row r="118" spans="3:8" s="61" customFormat="1" ht="18">
      <c r="C118" s="62"/>
      <c r="E118" s="71"/>
      <c r="F118" s="71"/>
      <c r="G118" s="72"/>
      <c r="H118" s="72"/>
    </row>
    <row r="119" spans="3:8" s="61" customFormat="1" ht="18">
      <c r="C119" s="62"/>
      <c r="E119" s="71"/>
      <c r="F119" s="71"/>
      <c r="G119" s="72"/>
      <c r="H119" s="72"/>
    </row>
    <row r="120" spans="3:8" s="61" customFormat="1" ht="18">
      <c r="C120" s="62"/>
      <c r="E120" s="71"/>
      <c r="F120" s="71"/>
      <c r="G120" s="72"/>
      <c r="H120" s="72"/>
    </row>
    <row r="121" spans="3:8" s="61" customFormat="1" ht="18">
      <c r="C121" s="62"/>
      <c r="E121" s="71"/>
      <c r="F121" s="71"/>
      <c r="G121" s="72"/>
      <c r="H121" s="72"/>
    </row>
    <row r="122" spans="3:8" s="61" customFormat="1" ht="18">
      <c r="C122" s="62"/>
      <c r="E122" s="71"/>
      <c r="F122" s="71"/>
      <c r="G122" s="72"/>
      <c r="H122" s="72"/>
    </row>
    <row r="123" spans="3:8" s="61" customFormat="1" ht="18">
      <c r="C123" s="62"/>
      <c r="E123" s="71"/>
      <c r="F123" s="71"/>
      <c r="G123" s="72"/>
      <c r="H123" s="72"/>
    </row>
    <row r="124" spans="3:8" s="61" customFormat="1" ht="18">
      <c r="C124" s="62"/>
      <c r="E124" s="71"/>
      <c r="F124" s="71"/>
      <c r="G124" s="72"/>
      <c r="H124" s="72"/>
    </row>
    <row r="125" spans="3:8" s="61" customFormat="1" ht="18">
      <c r="C125" s="62"/>
      <c r="E125" s="71"/>
      <c r="F125" s="71"/>
      <c r="G125" s="72"/>
      <c r="H125" s="72"/>
    </row>
    <row r="126" spans="3:8" s="61" customFormat="1" ht="18">
      <c r="C126" s="62"/>
      <c r="E126" s="71"/>
      <c r="F126" s="71"/>
      <c r="G126" s="72"/>
      <c r="H126" s="72"/>
    </row>
    <row r="127" spans="3:8" s="61" customFormat="1" ht="18">
      <c r="C127" s="62"/>
      <c r="E127" s="71"/>
      <c r="F127" s="71"/>
      <c r="G127" s="72"/>
      <c r="H127" s="72"/>
    </row>
    <row r="128" spans="3:8" s="61" customFormat="1" ht="18">
      <c r="C128" s="62"/>
      <c r="E128" s="71"/>
      <c r="F128" s="71"/>
      <c r="G128" s="72"/>
      <c r="H128" s="72"/>
    </row>
    <row r="129" spans="3:8" s="61" customFormat="1" ht="18">
      <c r="C129" s="62"/>
      <c r="E129" s="71"/>
      <c r="F129" s="71"/>
      <c r="G129" s="72"/>
      <c r="H129" s="72"/>
    </row>
    <row r="130" spans="3:8" s="61" customFormat="1" ht="18">
      <c r="C130" s="62"/>
      <c r="E130" s="71"/>
      <c r="F130" s="71"/>
      <c r="G130" s="72"/>
      <c r="H130" s="72"/>
    </row>
    <row r="131" spans="3:8" s="61" customFormat="1" ht="18">
      <c r="C131" s="62"/>
      <c r="E131" s="71"/>
      <c r="F131" s="71"/>
      <c r="G131" s="72"/>
      <c r="H131" s="72"/>
    </row>
    <row r="132" spans="3:8" s="61" customFormat="1" ht="18">
      <c r="C132" s="62"/>
      <c r="E132" s="71"/>
      <c r="F132" s="71"/>
      <c r="G132" s="72"/>
      <c r="H132" s="72"/>
    </row>
    <row r="133" spans="3:8" s="61" customFormat="1" ht="18">
      <c r="C133" s="62"/>
      <c r="E133" s="71"/>
      <c r="F133" s="71"/>
      <c r="G133" s="72"/>
      <c r="H133" s="72"/>
    </row>
    <row r="134" spans="3:8" s="61" customFormat="1" ht="18">
      <c r="C134" s="62"/>
      <c r="E134" s="71"/>
      <c r="F134" s="71"/>
      <c r="G134" s="72"/>
      <c r="H134" s="72"/>
    </row>
    <row r="135" spans="3:8" s="61" customFormat="1" ht="18">
      <c r="C135" s="62"/>
      <c r="E135" s="71"/>
      <c r="F135" s="71"/>
      <c r="G135" s="72"/>
      <c r="H135" s="72"/>
    </row>
    <row r="136" spans="3:8" s="61" customFormat="1" ht="18">
      <c r="C136" s="62"/>
      <c r="E136" s="71"/>
      <c r="F136" s="71"/>
      <c r="G136" s="72"/>
      <c r="H136" s="72"/>
    </row>
    <row r="137" spans="3:8" s="61" customFormat="1" ht="18">
      <c r="C137" s="62"/>
      <c r="E137" s="71"/>
      <c r="F137" s="71"/>
      <c r="G137" s="72"/>
      <c r="H137" s="72"/>
    </row>
    <row r="138" spans="3:8" s="61" customFormat="1" ht="18">
      <c r="C138" s="62"/>
      <c r="E138" s="71"/>
      <c r="F138" s="71"/>
      <c r="G138" s="72"/>
      <c r="H138" s="72"/>
    </row>
    <row r="139" spans="3:8" s="61" customFormat="1" ht="18">
      <c r="C139" s="62"/>
      <c r="E139" s="71"/>
      <c r="F139" s="71"/>
      <c r="G139" s="72"/>
      <c r="H139" s="72"/>
    </row>
    <row r="140" spans="3:8" s="61" customFormat="1" ht="18">
      <c r="C140" s="62"/>
      <c r="E140" s="71"/>
      <c r="F140" s="71"/>
      <c r="G140" s="72"/>
      <c r="H140" s="72"/>
    </row>
    <row r="141" spans="3:8" s="61" customFormat="1" ht="18">
      <c r="C141" s="62"/>
      <c r="E141" s="71"/>
      <c r="F141" s="71"/>
      <c r="G141" s="72"/>
      <c r="H141" s="72"/>
    </row>
    <row r="142" spans="3:8" s="61" customFormat="1" ht="18">
      <c r="C142" s="62"/>
      <c r="E142" s="71"/>
      <c r="F142" s="71"/>
      <c r="G142" s="72"/>
      <c r="H142" s="72"/>
    </row>
    <row r="143" spans="3:8" s="61" customFormat="1" ht="18">
      <c r="C143" s="62"/>
      <c r="E143" s="71"/>
      <c r="F143" s="71"/>
      <c r="G143" s="72"/>
      <c r="H143" s="72"/>
    </row>
    <row r="144" spans="3:8" s="61" customFormat="1" ht="18">
      <c r="C144" s="62"/>
      <c r="E144" s="71"/>
      <c r="F144" s="71"/>
      <c r="G144" s="72"/>
      <c r="H144" s="72"/>
    </row>
    <row r="145" spans="3:8" s="61" customFormat="1" ht="18">
      <c r="C145" s="62"/>
      <c r="E145" s="71"/>
      <c r="F145" s="71"/>
      <c r="G145" s="72"/>
      <c r="H145" s="72"/>
    </row>
    <row r="146" spans="3:8" s="61" customFormat="1" ht="18">
      <c r="C146" s="62"/>
      <c r="E146" s="71"/>
      <c r="F146" s="71"/>
      <c r="G146" s="72"/>
      <c r="H146" s="72"/>
    </row>
    <row r="147" spans="3:8" s="61" customFormat="1" ht="18">
      <c r="C147" s="62"/>
      <c r="E147" s="71"/>
      <c r="F147" s="71"/>
      <c r="G147" s="72"/>
      <c r="H147" s="72"/>
    </row>
    <row r="148" spans="3:8" s="61" customFormat="1" ht="18">
      <c r="C148" s="62"/>
      <c r="E148" s="71"/>
      <c r="F148" s="71"/>
      <c r="G148" s="72"/>
      <c r="H148" s="72"/>
    </row>
    <row r="149" spans="3:8" s="61" customFormat="1" ht="18">
      <c r="C149" s="62"/>
      <c r="E149" s="71"/>
      <c r="F149" s="71"/>
      <c r="G149" s="72"/>
      <c r="H149" s="72"/>
    </row>
    <row r="150" spans="3:8" s="61" customFormat="1" ht="18">
      <c r="C150" s="62"/>
      <c r="E150" s="71"/>
      <c r="F150" s="71"/>
      <c r="G150" s="72"/>
      <c r="H150" s="72"/>
    </row>
    <row r="151" spans="3:8" s="61" customFormat="1" ht="18">
      <c r="C151" s="62"/>
      <c r="E151" s="71"/>
      <c r="F151" s="71"/>
      <c r="G151" s="72"/>
      <c r="H151" s="72"/>
    </row>
    <row r="152" spans="3:8" s="61" customFormat="1" ht="18">
      <c r="C152" s="62"/>
      <c r="E152" s="71"/>
      <c r="F152" s="71"/>
      <c r="G152" s="72"/>
      <c r="H152" s="72"/>
    </row>
    <row r="153" spans="3:8" s="61" customFormat="1" ht="18">
      <c r="C153" s="62"/>
      <c r="E153" s="71"/>
      <c r="F153" s="71"/>
      <c r="G153" s="72"/>
      <c r="H153" s="72"/>
    </row>
    <row r="154" spans="3:8" s="61" customFormat="1" ht="18">
      <c r="C154" s="62"/>
      <c r="E154" s="71"/>
      <c r="F154" s="71"/>
      <c r="G154" s="72"/>
      <c r="H154" s="72"/>
    </row>
    <row r="155" spans="3:8" s="61" customFormat="1" ht="18">
      <c r="C155" s="62"/>
      <c r="E155" s="71"/>
      <c r="F155" s="71"/>
      <c r="G155" s="72"/>
      <c r="H155" s="72"/>
    </row>
    <row r="156" spans="3:8" s="61" customFormat="1" ht="18">
      <c r="C156" s="62"/>
      <c r="E156" s="71"/>
      <c r="F156" s="71"/>
      <c r="G156" s="72"/>
      <c r="H156" s="72"/>
    </row>
    <row r="157" spans="3:8" s="61" customFormat="1" ht="18">
      <c r="C157" s="62"/>
      <c r="E157" s="71"/>
      <c r="F157" s="71"/>
      <c r="G157" s="72"/>
      <c r="H157" s="72"/>
    </row>
    <row r="158" spans="3:8" s="61" customFormat="1" ht="18">
      <c r="C158" s="62"/>
      <c r="E158" s="71"/>
      <c r="F158" s="71"/>
      <c r="G158" s="72"/>
      <c r="H158" s="72"/>
    </row>
    <row r="159" spans="3:8" s="61" customFormat="1" ht="18">
      <c r="C159" s="62"/>
      <c r="E159" s="71"/>
      <c r="F159" s="71"/>
      <c r="G159" s="72"/>
      <c r="H159" s="72"/>
    </row>
    <row r="160" spans="3:8" s="61" customFormat="1" ht="18">
      <c r="C160" s="62"/>
      <c r="E160" s="71"/>
      <c r="F160" s="71"/>
      <c r="G160" s="72"/>
      <c r="H160" s="72"/>
    </row>
    <row r="161" spans="3:8" s="61" customFormat="1" ht="18">
      <c r="C161" s="62"/>
      <c r="E161" s="71"/>
      <c r="F161" s="71"/>
      <c r="G161" s="72"/>
      <c r="H161" s="72"/>
    </row>
    <row r="162" spans="3:8" s="61" customFormat="1" ht="18">
      <c r="C162" s="62"/>
      <c r="E162" s="71"/>
      <c r="F162" s="71"/>
      <c r="G162" s="72"/>
      <c r="H162" s="72"/>
    </row>
    <row r="163" spans="3:8" s="61" customFormat="1" ht="18">
      <c r="C163" s="62"/>
      <c r="E163" s="71"/>
      <c r="F163" s="71"/>
      <c r="G163" s="72"/>
      <c r="H163" s="72"/>
    </row>
    <row r="164" spans="3:8" s="61" customFormat="1" ht="18">
      <c r="C164" s="62"/>
      <c r="E164" s="71"/>
      <c r="F164" s="71"/>
      <c r="G164" s="72"/>
      <c r="H164" s="72"/>
    </row>
    <row r="165" spans="3:8" s="61" customFormat="1" ht="18">
      <c r="C165" s="62"/>
      <c r="E165" s="71"/>
      <c r="F165" s="71"/>
      <c r="G165" s="72"/>
      <c r="H165" s="72"/>
    </row>
    <row r="166" spans="3:8" s="61" customFormat="1" ht="18">
      <c r="C166" s="62"/>
      <c r="E166" s="71"/>
      <c r="F166" s="71"/>
      <c r="G166" s="72"/>
      <c r="H166" s="72"/>
    </row>
    <row r="167" spans="3:8" s="61" customFormat="1" ht="18">
      <c r="C167" s="62"/>
      <c r="E167" s="71"/>
      <c r="F167" s="71"/>
      <c r="G167" s="72"/>
      <c r="H167" s="72"/>
    </row>
    <row r="168" spans="3:8" s="61" customFormat="1" ht="18">
      <c r="C168" s="62"/>
      <c r="E168" s="71"/>
      <c r="F168" s="71"/>
      <c r="G168" s="72"/>
      <c r="H168" s="72"/>
    </row>
    <row r="169" spans="3:8" s="61" customFormat="1" ht="18">
      <c r="C169" s="62"/>
      <c r="E169" s="71"/>
      <c r="F169" s="71"/>
      <c r="G169" s="72"/>
      <c r="H169" s="72"/>
    </row>
    <row r="170" spans="3:8" s="61" customFormat="1" ht="18">
      <c r="C170" s="62"/>
      <c r="E170" s="71"/>
      <c r="F170" s="71"/>
      <c r="G170" s="72"/>
      <c r="H170" s="72"/>
    </row>
    <row r="171" spans="3:8" s="61" customFormat="1" ht="18">
      <c r="C171" s="62"/>
      <c r="E171" s="71"/>
      <c r="F171" s="71"/>
      <c r="G171" s="72"/>
      <c r="H171" s="72"/>
    </row>
    <row r="172" spans="3:8" s="61" customFormat="1" ht="18">
      <c r="C172" s="62"/>
      <c r="E172" s="71"/>
      <c r="F172" s="71"/>
      <c r="G172" s="72"/>
      <c r="H172" s="72"/>
    </row>
    <row r="173" spans="3:8" s="61" customFormat="1" ht="18">
      <c r="C173" s="62"/>
      <c r="E173" s="71"/>
      <c r="F173" s="71"/>
      <c r="G173" s="72"/>
      <c r="H173" s="72"/>
    </row>
    <row r="174" spans="3:8" s="61" customFormat="1" ht="18">
      <c r="C174" s="62"/>
      <c r="E174" s="71"/>
      <c r="F174" s="71"/>
      <c r="G174" s="72"/>
      <c r="H174" s="72"/>
    </row>
    <row r="175" spans="3:8" s="61" customFormat="1" ht="18">
      <c r="C175" s="62"/>
      <c r="E175" s="71"/>
      <c r="F175" s="71"/>
      <c r="G175" s="72"/>
      <c r="H175" s="72"/>
    </row>
    <row r="176" spans="3:8" s="61" customFormat="1" ht="18">
      <c r="C176" s="62"/>
      <c r="E176" s="71"/>
      <c r="F176" s="71"/>
      <c r="G176" s="72"/>
      <c r="H176" s="72"/>
    </row>
    <row r="177" spans="3:8" s="61" customFormat="1" ht="18">
      <c r="C177" s="62"/>
      <c r="E177" s="71"/>
      <c r="F177" s="71"/>
      <c r="G177" s="72"/>
      <c r="H177" s="72"/>
    </row>
    <row r="178" spans="3:8" s="61" customFormat="1" ht="18">
      <c r="C178" s="62"/>
      <c r="E178" s="71"/>
      <c r="F178" s="71"/>
      <c r="G178" s="72"/>
      <c r="H178" s="72"/>
    </row>
    <row r="179" spans="3:8" s="61" customFormat="1" ht="18">
      <c r="C179" s="62"/>
      <c r="E179" s="71"/>
      <c r="F179" s="71"/>
      <c r="G179" s="72"/>
      <c r="H179" s="72"/>
    </row>
    <row r="180" spans="3:8" s="61" customFormat="1" ht="18">
      <c r="C180" s="62"/>
      <c r="E180" s="71"/>
      <c r="F180" s="71"/>
      <c r="G180" s="72"/>
      <c r="H180" s="72"/>
    </row>
    <row r="181" spans="3:8" s="61" customFormat="1" ht="18">
      <c r="C181" s="62"/>
      <c r="E181" s="71"/>
      <c r="F181" s="71"/>
      <c r="G181" s="72"/>
      <c r="H181" s="72"/>
    </row>
    <row r="182" spans="3:8" s="61" customFormat="1" ht="18">
      <c r="C182" s="62"/>
      <c r="E182" s="71"/>
      <c r="F182" s="71"/>
      <c r="G182" s="72"/>
      <c r="H182" s="72"/>
    </row>
    <row r="183" spans="3:8" s="61" customFormat="1" ht="18">
      <c r="C183" s="62"/>
      <c r="E183" s="71"/>
      <c r="F183" s="71"/>
      <c r="G183" s="72"/>
      <c r="H183" s="72"/>
    </row>
    <row r="184" spans="3:8" s="61" customFormat="1" ht="18">
      <c r="C184" s="62"/>
      <c r="E184" s="71"/>
      <c r="F184" s="71"/>
      <c r="G184" s="72"/>
      <c r="H184" s="72"/>
    </row>
    <row r="185" spans="3:8" s="61" customFormat="1" ht="18">
      <c r="C185" s="62"/>
      <c r="E185" s="71"/>
      <c r="F185" s="71"/>
      <c r="G185" s="72"/>
      <c r="H185" s="72"/>
    </row>
    <row r="186" spans="3:8" s="61" customFormat="1" ht="18">
      <c r="C186" s="62"/>
      <c r="E186" s="71"/>
      <c r="F186" s="71"/>
      <c r="G186" s="72"/>
      <c r="H186" s="72"/>
    </row>
    <row r="187" spans="3:8" s="61" customFormat="1" ht="18">
      <c r="C187" s="62"/>
      <c r="E187" s="71"/>
      <c r="F187" s="71"/>
      <c r="G187" s="72"/>
      <c r="H187" s="72"/>
    </row>
    <row r="188" spans="3:8" s="61" customFormat="1" ht="18">
      <c r="C188" s="62"/>
      <c r="E188" s="71"/>
      <c r="F188" s="71"/>
      <c r="G188" s="72"/>
      <c r="H188" s="72"/>
    </row>
    <row r="189" spans="3:8" s="61" customFormat="1" ht="18">
      <c r="C189" s="62"/>
      <c r="E189" s="71"/>
      <c r="F189" s="71"/>
      <c r="G189" s="72"/>
      <c r="H189" s="72"/>
    </row>
    <row r="190" spans="3:8" s="61" customFormat="1" ht="18">
      <c r="C190" s="62"/>
      <c r="E190" s="71"/>
      <c r="F190" s="71"/>
      <c r="G190" s="72"/>
      <c r="H190" s="72"/>
    </row>
    <row r="191" spans="3:8" s="61" customFormat="1" ht="18">
      <c r="C191" s="62"/>
      <c r="E191" s="71"/>
      <c r="F191" s="71"/>
      <c r="G191" s="72"/>
      <c r="H191" s="72"/>
    </row>
    <row r="192" spans="3:8" s="61" customFormat="1" ht="18">
      <c r="C192" s="62"/>
      <c r="E192" s="71"/>
      <c r="F192" s="71"/>
      <c r="G192" s="72"/>
      <c r="H192" s="72"/>
    </row>
    <row r="193" spans="3:8" s="61" customFormat="1" ht="18">
      <c r="C193" s="62"/>
      <c r="E193" s="71"/>
      <c r="F193" s="71"/>
      <c r="G193" s="72"/>
      <c r="H193" s="72"/>
    </row>
    <row r="194" spans="3:8" s="61" customFormat="1" ht="18">
      <c r="C194" s="62"/>
      <c r="E194" s="71"/>
      <c r="F194" s="71"/>
      <c r="G194" s="72"/>
      <c r="H194" s="72"/>
    </row>
    <row r="195" spans="3:8" s="61" customFormat="1" ht="18">
      <c r="C195" s="62"/>
      <c r="E195" s="71"/>
      <c r="F195" s="71"/>
      <c r="G195" s="72"/>
      <c r="H195" s="72"/>
    </row>
    <row r="196" spans="3:8" s="61" customFormat="1" ht="18">
      <c r="C196" s="62"/>
      <c r="E196" s="71"/>
      <c r="F196" s="71"/>
      <c r="G196" s="72"/>
      <c r="H196" s="72"/>
    </row>
    <row r="197" spans="3:8" s="61" customFormat="1" ht="18">
      <c r="C197" s="62"/>
      <c r="E197" s="71"/>
      <c r="F197" s="71"/>
      <c r="G197" s="72"/>
      <c r="H197" s="72"/>
    </row>
    <row r="198" spans="3:8" s="61" customFormat="1" ht="18">
      <c r="C198" s="62"/>
      <c r="E198" s="71"/>
      <c r="F198" s="71"/>
      <c r="G198" s="72"/>
      <c r="H198" s="72"/>
    </row>
    <row r="199" spans="3:8" s="61" customFormat="1" ht="18">
      <c r="C199" s="62"/>
      <c r="E199" s="71"/>
      <c r="F199" s="71"/>
      <c r="G199" s="72"/>
      <c r="H199" s="72"/>
    </row>
    <row r="200" spans="3:8" ht="18">
      <c r="C200" s="62"/>
      <c r="D200" s="61"/>
      <c r="E200" s="71"/>
      <c r="F200" s="71"/>
      <c r="G200" s="72"/>
      <c r="H200" s="72"/>
    </row>
    <row r="201" spans="3:8" ht="18">
      <c r="C201" s="50"/>
      <c r="D201" s="50"/>
      <c r="E201" s="73"/>
      <c r="F201" s="73"/>
      <c r="G201" s="50"/>
      <c r="H201" s="50"/>
    </row>
    <row r="202" spans="3:8" ht="18">
      <c r="C202" s="50"/>
      <c r="D202" s="50"/>
      <c r="E202" s="73"/>
      <c r="F202" s="73"/>
      <c r="G202" s="50"/>
      <c r="H202" s="50"/>
    </row>
    <row r="203" spans="3:8" ht="18">
      <c r="C203" s="50"/>
      <c r="D203" s="50"/>
      <c r="E203" s="73"/>
      <c r="F203" s="73"/>
      <c r="G203" s="50"/>
      <c r="H203" s="50"/>
    </row>
    <row r="204" spans="3:8" ht="18">
      <c r="C204" s="50"/>
      <c r="D204" s="50"/>
      <c r="E204" s="73"/>
      <c r="F204" s="73"/>
      <c r="G204" s="50"/>
      <c r="H204" s="50"/>
    </row>
    <row r="205" spans="3:8" ht="18">
      <c r="C205" s="50"/>
      <c r="D205" s="50"/>
      <c r="E205" s="73"/>
      <c r="F205" s="73"/>
      <c r="G205" s="50"/>
      <c r="H205" s="50"/>
    </row>
    <row r="206" spans="3:8" ht="18">
      <c r="C206" s="50"/>
      <c r="D206" s="50"/>
      <c r="E206" s="73"/>
      <c r="F206" s="73"/>
      <c r="G206" s="50"/>
      <c r="H206" s="50"/>
    </row>
    <row r="207" spans="3:8" ht="18">
      <c r="C207" s="50"/>
      <c r="D207" s="50"/>
      <c r="E207" s="73"/>
      <c r="F207" s="73"/>
      <c r="G207" s="50"/>
      <c r="H207" s="50"/>
    </row>
    <row r="208" spans="3:8" ht="18">
      <c r="C208" s="50"/>
      <c r="D208" s="50"/>
      <c r="E208" s="73"/>
      <c r="F208" s="73"/>
      <c r="G208" s="50"/>
      <c r="H208" s="50"/>
    </row>
    <row r="209" spans="3:8" ht="18">
      <c r="C209" s="50"/>
      <c r="D209" s="50"/>
      <c r="E209" s="73"/>
      <c r="F209" s="73"/>
      <c r="G209" s="50"/>
      <c r="H209" s="50"/>
    </row>
    <row r="210" spans="3:8" ht="18">
      <c r="C210" s="50"/>
      <c r="D210" s="50"/>
      <c r="E210" s="73"/>
      <c r="F210" s="73"/>
      <c r="G210" s="50"/>
      <c r="H210" s="50"/>
    </row>
    <row r="211" spans="3:8" ht="18">
      <c r="C211" s="50"/>
      <c r="D211" s="50"/>
      <c r="E211" s="73"/>
      <c r="F211" s="73"/>
      <c r="G211" s="50"/>
      <c r="H211" s="50"/>
    </row>
    <row r="212" spans="3:8" ht="18">
      <c r="C212" s="50"/>
      <c r="D212" s="50"/>
      <c r="E212" s="73"/>
      <c r="F212" s="73"/>
      <c r="G212" s="50"/>
      <c r="H212" s="50"/>
    </row>
    <row r="213" spans="3:8" ht="18">
      <c r="C213" s="50"/>
      <c r="D213" s="50"/>
      <c r="E213" s="73"/>
      <c r="F213" s="73"/>
      <c r="G213" s="50"/>
      <c r="H213" s="50"/>
    </row>
    <row r="214" spans="5:6" ht="18">
      <c r="E214" s="73"/>
      <c r="F214" s="73"/>
    </row>
    <row r="215" spans="5:6" ht="18">
      <c r="E215" s="73"/>
      <c r="F215" s="73"/>
    </row>
    <row r="216" spans="5:6" ht="18">
      <c r="E216" s="73"/>
      <c r="F216" s="73"/>
    </row>
    <row r="217" spans="5:6" ht="18">
      <c r="E217" s="73"/>
      <c r="F217" s="73"/>
    </row>
    <row r="218" spans="5:6" ht="18">
      <c r="E218" s="73"/>
      <c r="F218" s="73"/>
    </row>
    <row r="219" spans="5:6" ht="18">
      <c r="E219" s="73"/>
      <c r="F219" s="73"/>
    </row>
    <row r="220" spans="5:6" ht="18">
      <c r="E220" s="73"/>
      <c r="F220" s="73"/>
    </row>
    <row r="221" spans="5:6" ht="18">
      <c r="E221" s="73"/>
      <c r="F221" s="73"/>
    </row>
    <row r="222" spans="5:6" ht="18">
      <c r="E222" s="73"/>
      <c r="F222" s="73"/>
    </row>
    <row r="223" spans="5:6" ht="18">
      <c r="E223" s="73"/>
      <c r="F223" s="73"/>
    </row>
    <row r="224" spans="5:6" ht="18">
      <c r="E224" s="73"/>
      <c r="F224" s="73"/>
    </row>
    <row r="225" spans="5:6" ht="18">
      <c r="E225" s="73"/>
      <c r="F225" s="73"/>
    </row>
    <row r="226" spans="5:6" ht="18">
      <c r="E226" s="73"/>
      <c r="F226" s="73"/>
    </row>
    <row r="227" spans="5:6" ht="18">
      <c r="E227" s="73"/>
      <c r="F227" s="73"/>
    </row>
    <row r="228" spans="5:6" ht="18">
      <c r="E228" s="73"/>
      <c r="F228" s="73"/>
    </row>
    <row r="229" spans="5:6" ht="18">
      <c r="E229" s="73"/>
      <c r="F229" s="73"/>
    </row>
    <row r="230" spans="5:6" ht="18">
      <c r="E230" s="73"/>
      <c r="F230" s="73"/>
    </row>
    <row r="231" spans="5:6" ht="18">
      <c r="E231" s="73"/>
      <c r="F231" s="73"/>
    </row>
    <row r="232" spans="5:6" ht="18">
      <c r="E232" s="73"/>
      <c r="F232" s="73"/>
    </row>
    <row r="233" spans="5:6" ht="18">
      <c r="E233" s="73"/>
      <c r="F233" s="73"/>
    </row>
    <row r="234" spans="5:6" ht="18">
      <c r="E234" s="73"/>
      <c r="F234" s="73"/>
    </row>
    <row r="235" spans="5:6" ht="18">
      <c r="E235" s="73"/>
      <c r="F235" s="73"/>
    </row>
    <row r="236" spans="5:6" ht="18">
      <c r="E236" s="73"/>
      <c r="F236" s="73"/>
    </row>
    <row r="237" spans="5:6" ht="18">
      <c r="E237" s="73"/>
      <c r="F237" s="73"/>
    </row>
    <row r="238" spans="5:6" ht="18">
      <c r="E238" s="73"/>
      <c r="F238" s="73"/>
    </row>
    <row r="239" spans="5:6" ht="18">
      <c r="E239" s="73"/>
      <c r="F239" s="73"/>
    </row>
    <row r="240" spans="5:6" ht="18">
      <c r="E240" s="73"/>
      <c r="F240" s="73"/>
    </row>
    <row r="241" spans="5:6" ht="18">
      <c r="E241" s="73"/>
      <c r="F241" s="73"/>
    </row>
    <row r="242" spans="5:6" ht="18">
      <c r="E242" s="73"/>
      <c r="F242" s="73"/>
    </row>
    <row r="243" spans="5:6" ht="18">
      <c r="E243" s="73"/>
      <c r="F243" s="73"/>
    </row>
    <row r="244" spans="5:6" ht="18">
      <c r="E244" s="73"/>
      <c r="F244" s="73"/>
    </row>
    <row r="245" spans="5:6" ht="18">
      <c r="E245" s="73"/>
      <c r="F245" s="73"/>
    </row>
    <row r="246" spans="5:6" ht="18">
      <c r="E246" s="73"/>
      <c r="F246" s="73"/>
    </row>
    <row r="247" spans="5:6" ht="18">
      <c r="E247" s="73"/>
      <c r="F247" s="73"/>
    </row>
    <row r="248" spans="5:6" ht="18">
      <c r="E248" s="73"/>
      <c r="F248" s="73"/>
    </row>
    <row r="249" spans="5:6" ht="18">
      <c r="E249" s="73"/>
      <c r="F249" s="73"/>
    </row>
    <row r="250" spans="5:6" ht="18">
      <c r="E250" s="73"/>
      <c r="F250" s="73"/>
    </row>
    <row r="251" spans="5:6" ht="18">
      <c r="E251" s="73"/>
      <c r="F251" s="73"/>
    </row>
    <row r="252" spans="5:6" ht="18">
      <c r="E252" s="73"/>
      <c r="F252" s="73"/>
    </row>
    <row r="253" spans="5:6" ht="18">
      <c r="E253" s="73"/>
      <c r="F253" s="73"/>
    </row>
    <row r="254" spans="5:6" ht="18">
      <c r="E254" s="73"/>
      <c r="F254" s="73"/>
    </row>
    <row r="255" spans="5:6" ht="18">
      <c r="E255" s="73"/>
      <c r="F255" s="73"/>
    </row>
    <row r="256" spans="5:6" ht="18">
      <c r="E256" s="73"/>
      <c r="F256" s="73"/>
    </row>
    <row r="257" spans="5:6" ht="18">
      <c r="E257" s="73"/>
      <c r="F257" s="73"/>
    </row>
    <row r="258" spans="5:6" ht="18">
      <c r="E258" s="73"/>
      <c r="F258" s="73"/>
    </row>
    <row r="259" spans="5:6" ht="18">
      <c r="E259" s="73"/>
      <c r="F259" s="73"/>
    </row>
    <row r="260" spans="5:6" ht="18">
      <c r="E260" s="73"/>
      <c r="F260" s="73"/>
    </row>
    <row r="261" spans="5:6" ht="18">
      <c r="E261" s="73"/>
      <c r="F261" s="73"/>
    </row>
    <row r="262" spans="5:6" ht="18">
      <c r="E262" s="73"/>
      <c r="F262" s="73"/>
    </row>
    <row r="263" spans="5:6" ht="18">
      <c r="E263" s="73"/>
      <c r="F263" s="73"/>
    </row>
    <row r="264" spans="5:6" ht="18">
      <c r="E264" s="73"/>
      <c r="F264" s="73"/>
    </row>
    <row r="265" spans="5:6" ht="18">
      <c r="E265" s="73"/>
      <c r="F265" s="73"/>
    </row>
    <row r="266" spans="5:6" ht="18">
      <c r="E266" s="73"/>
      <c r="F266" s="73"/>
    </row>
    <row r="267" spans="5:6" ht="18">
      <c r="E267" s="73"/>
      <c r="F267" s="73"/>
    </row>
    <row r="268" spans="5:6" ht="18">
      <c r="E268" s="73"/>
      <c r="F268" s="73"/>
    </row>
    <row r="269" spans="5:6" ht="18">
      <c r="E269" s="73"/>
      <c r="F269" s="73"/>
    </row>
    <row r="270" spans="5:6" ht="18">
      <c r="E270" s="73"/>
      <c r="F270" s="73"/>
    </row>
    <row r="271" spans="5:6" ht="18">
      <c r="E271" s="73"/>
      <c r="F271" s="73"/>
    </row>
    <row r="272" spans="5:6" ht="18">
      <c r="E272" s="73"/>
      <c r="F272" s="73"/>
    </row>
    <row r="273" spans="5:6" ht="18">
      <c r="E273" s="73"/>
      <c r="F273" s="73"/>
    </row>
    <row r="274" spans="5:6" ht="18">
      <c r="E274" s="73"/>
      <c r="F274" s="73"/>
    </row>
    <row r="275" spans="5:6" ht="18">
      <c r="E275" s="73"/>
      <c r="F275" s="73"/>
    </row>
    <row r="276" spans="5:6" ht="18">
      <c r="E276" s="73"/>
      <c r="F276" s="73"/>
    </row>
    <row r="277" spans="5:6" ht="18">
      <c r="E277" s="73"/>
      <c r="F277" s="73"/>
    </row>
    <row r="278" spans="5:6" ht="18">
      <c r="E278" s="73"/>
      <c r="F278" s="73"/>
    </row>
    <row r="279" spans="5:6" ht="18">
      <c r="E279" s="73"/>
      <c r="F279" s="73"/>
    </row>
    <row r="280" spans="5:6" ht="18">
      <c r="E280" s="73"/>
      <c r="F280" s="73"/>
    </row>
    <row r="281" spans="5:6" ht="18">
      <c r="E281" s="73"/>
      <c r="F281" s="73"/>
    </row>
    <row r="282" spans="5:6" ht="18">
      <c r="E282" s="73"/>
      <c r="F282" s="73"/>
    </row>
    <row r="283" spans="5:6" ht="18">
      <c r="E283" s="73"/>
      <c r="F283" s="73"/>
    </row>
    <row r="284" spans="5:6" ht="18">
      <c r="E284" s="73"/>
      <c r="F284" s="73"/>
    </row>
    <row r="285" spans="5:6" ht="18">
      <c r="E285" s="73"/>
      <c r="F285" s="73"/>
    </row>
    <row r="286" spans="5:6" ht="18">
      <c r="E286" s="73"/>
      <c r="F286" s="73"/>
    </row>
    <row r="287" spans="5:6" ht="18">
      <c r="E287" s="73"/>
      <c r="F287" s="73"/>
    </row>
    <row r="288" spans="5:6" ht="18">
      <c r="E288" s="73"/>
      <c r="F288" s="73"/>
    </row>
    <row r="289" spans="5:6" ht="18">
      <c r="E289" s="73"/>
      <c r="F289" s="73"/>
    </row>
    <row r="290" spans="5:6" ht="18">
      <c r="E290" s="73"/>
      <c r="F290" s="73"/>
    </row>
    <row r="291" spans="5:6" ht="18">
      <c r="E291" s="73"/>
      <c r="F291" s="73"/>
    </row>
    <row r="292" spans="5:6" ht="18">
      <c r="E292" s="73"/>
      <c r="F292" s="73"/>
    </row>
    <row r="293" spans="5:6" ht="18">
      <c r="E293" s="73"/>
      <c r="F293" s="73"/>
    </row>
    <row r="294" spans="5:6" ht="18">
      <c r="E294" s="73"/>
      <c r="F294" s="73"/>
    </row>
    <row r="295" spans="5:6" ht="18">
      <c r="E295" s="73"/>
      <c r="F295" s="73"/>
    </row>
    <row r="296" spans="5:6" ht="18">
      <c r="E296" s="73"/>
      <c r="F296" s="73"/>
    </row>
    <row r="297" spans="5:6" ht="18">
      <c r="E297" s="73"/>
      <c r="F297" s="73"/>
    </row>
    <row r="298" spans="5:6" ht="18">
      <c r="E298" s="73"/>
      <c r="F298" s="73"/>
    </row>
    <row r="299" spans="5:6" ht="18">
      <c r="E299" s="73"/>
      <c r="F299" s="73"/>
    </row>
    <row r="300" spans="5:6" ht="18">
      <c r="E300" s="73"/>
      <c r="F300" s="73"/>
    </row>
    <row r="301" spans="5:6" ht="18">
      <c r="E301" s="73"/>
      <c r="F301" s="73"/>
    </row>
    <row r="302" spans="5:6" ht="18">
      <c r="E302" s="73"/>
      <c r="F302" s="73"/>
    </row>
    <row r="303" spans="5:6" ht="18">
      <c r="E303" s="73"/>
      <c r="F303" s="73"/>
    </row>
    <row r="304" spans="5:6" ht="18">
      <c r="E304" s="73"/>
      <c r="F304" s="73"/>
    </row>
    <row r="305" spans="5:6" ht="18">
      <c r="E305" s="73"/>
      <c r="F305" s="73"/>
    </row>
    <row r="306" spans="5:6" ht="18">
      <c r="E306" s="73"/>
      <c r="F306" s="73"/>
    </row>
    <row r="307" spans="5:6" ht="18">
      <c r="E307" s="73"/>
      <c r="F307" s="73"/>
    </row>
    <row r="308" spans="5:6" ht="18">
      <c r="E308" s="73"/>
      <c r="F308" s="73"/>
    </row>
    <row r="309" spans="5:6" ht="18">
      <c r="E309" s="73"/>
      <c r="F309" s="73"/>
    </row>
    <row r="310" spans="5:6" ht="18">
      <c r="E310" s="73"/>
      <c r="F310" s="73"/>
    </row>
    <row r="311" spans="5:6" ht="18">
      <c r="E311" s="73"/>
      <c r="F311" s="73"/>
    </row>
    <row r="312" spans="5:6" ht="18">
      <c r="E312" s="73"/>
      <c r="F312" s="73"/>
    </row>
    <row r="313" spans="5:6" ht="18">
      <c r="E313" s="73"/>
      <c r="F313" s="73"/>
    </row>
    <row r="314" spans="5:6" ht="18">
      <c r="E314" s="73"/>
      <c r="F314" s="73"/>
    </row>
    <row r="315" spans="5:6" ht="18">
      <c r="E315" s="73"/>
      <c r="F315" s="73"/>
    </row>
    <row r="316" spans="5:6" ht="18">
      <c r="E316" s="73"/>
      <c r="F316" s="73"/>
    </row>
    <row r="317" spans="5:6" ht="18">
      <c r="E317" s="73"/>
      <c r="F317" s="73"/>
    </row>
    <row r="318" spans="5:6" ht="18">
      <c r="E318" s="73"/>
      <c r="F318" s="73"/>
    </row>
    <row r="319" spans="5:6" ht="18">
      <c r="E319" s="73"/>
      <c r="F319" s="73"/>
    </row>
    <row r="320" spans="5:6" ht="18">
      <c r="E320" s="73"/>
      <c r="F320" s="73"/>
    </row>
    <row r="321" spans="5:6" ht="18">
      <c r="E321" s="73"/>
      <c r="F321" s="73"/>
    </row>
    <row r="322" spans="5:6" ht="18">
      <c r="E322" s="73"/>
      <c r="F322" s="73"/>
    </row>
    <row r="323" spans="5:6" ht="18">
      <c r="E323" s="73"/>
      <c r="F323" s="73"/>
    </row>
    <row r="324" spans="5:6" ht="18">
      <c r="E324" s="73"/>
      <c r="F324" s="73"/>
    </row>
    <row r="325" spans="5:6" ht="18">
      <c r="E325" s="73"/>
      <c r="F325" s="73"/>
    </row>
    <row r="326" spans="5:6" ht="18">
      <c r="E326" s="73"/>
      <c r="F326" s="73"/>
    </row>
    <row r="327" spans="5:6" ht="18">
      <c r="E327" s="73"/>
      <c r="F327" s="73"/>
    </row>
    <row r="328" spans="5:6" ht="18">
      <c r="E328" s="73"/>
      <c r="F328" s="73"/>
    </row>
    <row r="329" spans="5:6" ht="18">
      <c r="E329" s="73"/>
      <c r="F329" s="73"/>
    </row>
    <row r="330" spans="5:6" ht="18">
      <c r="E330" s="73"/>
      <c r="F330" s="73"/>
    </row>
    <row r="331" spans="5:6" ht="18">
      <c r="E331" s="73"/>
      <c r="F331" s="73"/>
    </row>
    <row r="332" spans="5:6" ht="18">
      <c r="E332" s="73"/>
      <c r="F332" s="73"/>
    </row>
    <row r="333" spans="5:6" ht="18">
      <c r="E333" s="73"/>
      <c r="F333" s="73"/>
    </row>
    <row r="334" spans="5:6" ht="18">
      <c r="E334" s="73"/>
      <c r="F334" s="73"/>
    </row>
    <row r="335" spans="5:6" ht="18">
      <c r="E335" s="73"/>
      <c r="F335" s="73"/>
    </row>
    <row r="336" spans="5:6" ht="18">
      <c r="E336" s="73"/>
      <c r="F336" s="73"/>
    </row>
    <row r="337" spans="5:6" ht="18">
      <c r="E337" s="73"/>
      <c r="F337" s="73"/>
    </row>
    <row r="338" spans="5:6" ht="18">
      <c r="E338" s="73"/>
      <c r="F338" s="73"/>
    </row>
    <row r="339" spans="5:6" ht="18">
      <c r="E339" s="73"/>
      <c r="F339" s="73"/>
    </row>
    <row r="340" spans="5:6" ht="18">
      <c r="E340" s="73"/>
      <c r="F340" s="73"/>
    </row>
    <row r="341" spans="5:6" ht="18">
      <c r="E341" s="73"/>
      <c r="F341" s="73"/>
    </row>
    <row r="342" spans="5:6" ht="18">
      <c r="E342" s="73"/>
      <c r="F342" s="73"/>
    </row>
    <row r="343" spans="5:6" ht="18">
      <c r="E343" s="73"/>
      <c r="F343" s="73"/>
    </row>
    <row r="344" spans="5:6" ht="18">
      <c r="E344" s="73"/>
      <c r="F344" s="73"/>
    </row>
    <row r="345" spans="5:6" ht="18">
      <c r="E345" s="73"/>
      <c r="F345" s="73"/>
    </row>
    <row r="346" spans="5:6" ht="18">
      <c r="E346" s="73"/>
      <c r="F346" s="73"/>
    </row>
    <row r="347" spans="5:6" ht="18">
      <c r="E347" s="73"/>
      <c r="F347" s="73"/>
    </row>
    <row r="348" spans="5:6" ht="18">
      <c r="E348" s="73"/>
      <c r="F348" s="73"/>
    </row>
    <row r="349" spans="5:6" ht="18">
      <c r="E349" s="73"/>
      <c r="F349" s="73"/>
    </row>
    <row r="350" spans="5:6" ht="18">
      <c r="E350" s="73"/>
      <c r="F350" s="73"/>
    </row>
    <row r="351" spans="5:6" ht="18">
      <c r="E351" s="73"/>
      <c r="F351" s="73"/>
    </row>
    <row r="352" spans="5:6" ht="18">
      <c r="E352" s="73"/>
      <c r="F352" s="73"/>
    </row>
    <row r="353" spans="5:6" ht="18">
      <c r="E353" s="73"/>
      <c r="F353" s="73"/>
    </row>
    <row r="354" spans="5:6" ht="18">
      <c r="E354" s="73"/>
      <c r="F354" s="73"/>
    </row>
    <row r="355" spans="5:6" ht="18">
      <c r="E355" s="73"/>
      <c r="F355" s="73"/>
    </row>
    <row r="356" spans="5:6" ht="18">
      <c r="E356" s="73"/>
      <c r="F356" s="73"/>
    </row>
    <row r="357" spans="5:6" ht="18">
      <c r="E357" s="73"/>
      <c r="F357" s="73"/>
    </row>
    <row r="358" spans="5:6" ht="18">
      <c r="E358" s="73"/>
      <c r="F358" s="73"/>
    </row>
    <row r="359" spans="5:6" ht="18">
      <c r="E359" s="73"/>
      <c r="F359" s="73"/>
    </row>
    <row r="360" spans="5:6" ht="18">
      <c r="E360" s="73"/>
      <c r="F360" s="73"/>
    </row>
    <row r="361" spans="5:6" ht="18">
      <c r="E361" s="73"/>
      <c r="F361" s="73"/>
    </row>
    <row r="362" spans="5:6" ht="18">
      <c r="E362" s="73"/>
      <c r="F362" s="73"/>
    </row>
    <row r="363" spans="5:6" ht="18">
      <c r="E363" s="73"/>
      <c r="F363" s="73"/>
    </row>
    <row r="364" spans="5:6" ht="18">
      <c r="E364" s="73"/>
      <c r="F364" s="73"/>
    </row>
    <row r="365" spans="5:6" ht="18">
      <c r="E365" s="73"/>
      <c r="F365" s="73"/>
    </row>
    <row r="366" spans="5:6" ht="18">
      <c r="E366" s="73"/>
      <c r="F366" s="73"/>
    </row>
    <row r="367" spans="5:6" ht="18">
      <c r="E367" s="73"/>
      <c r="F367" s="73"/>
    </row>
    <row r="368" spans="5:6" ht="18">
      <c r="E368" s="73"/>
      <c r="F368" s="73"/>
    </row>
    <row r="369" spans="5:6" ht="18">
      <c r="E369" s="73"/>
      <c r="F369" s="73"/>
    </row>
    <row r="370" spans="5:6" ht="18">
      <c r="E370" s="73"/>
      <c r="F370" s="73"/>
    </row>
    <row r="371" spans="5:6" ht="18">
      <c r="E371" s="73"/>
      <c r="F371" s="73"/>
    </row>
    <row r="372" spans="5:6" ht="18">
      <c r="E372" s="73"/>
      <c r="F372" s="73"/>
    </row>
    <row r="373" spans="5:6" ht="18">
      <c r="E373" s="73"/>
      <c r="F373" s="73"/>
    </row>
    <row r="374" spans="5:6" ht="18">
      <c r="E374" s="73"/>
      <c r="F374" s="73"/>
    </row>
    <row r="375" spans="5:6" ht="18">
      <c r="E375" s="73"/>
      <c r="F375" s="73"/>
    </row>
    <row r="376" spans="5:6" ht="18">
      <c r="E376" s="73"/>
      <c r="F376" s="73"/>
    </row>
    <row r="377" spans="5:6" ht="18">
      <c r="E377" s="73"/>
      <c r="F377" s="73"/>
    </row>
    <row r="378" spans="5:6" ht="18">
      <c r="E378" s="73"/>
      <c r="F378" s="73"/>
    </row>
    <row r="379" spans="5:6" ht="18">
      <c r="E379" s="73"/>
      <c r="F379" s="73"/>
    </row>
  </sheetData>
  <sheetProtection/>
  <mergeCells count="9">
    <mergeCell ref="E2:F2"/>
    <mergeCell ref="E3:F3"/>
    <mergeCell ref="E4:F4"/>
    <mergeCell ref="B11:B12"/>
    <mergeCell ref="C11:C12"/>
    <mergeCell ref="D11:D12"/>
    <mergeCell ref="E11:F11"/>
    <mergeCell ref="B8:F8"/>
    <mergeCell ref="E5:F5"/>
  </mergeCells>
  <printOptions/>
  <pageMargins left="0.5118110236220472" right="0.31496062992125984" top="0.5511811023622047" bottom="0.35433070866141736" header="0.31496062992125984" footer="0.31496062992125984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2"/>
  <sheetViews>
    <sheetView tabSelected="1" view="pageBreakPreview" zoomScale="75" zoomScaleSheetLayoutView="75" zoomScalePageLayoutView="0" workbookViewId="0" topLeftCell="A261">
      <selection activeCell="H231" sqref="H231"/>
    </sheetView>
  </sheetViews>
  <sheetFormatPr defaultColWidth="9.140625" defaultRowHeight="15"/>
  <cols>
    <col min="1" max="1" width="46.8515625" style="151" customWidth="1"/>
    <col min="2" max="4" width="5.57421875" style="151" customWidth="1"/>
    <col min="5" max="5" width="5.7109375" style="151" customWidth="1"/>
    <col min="6" max="6" width="3.8515625" style="151" customWidth="1"/>
    <col min="7" max="7" width="4.57421875" style="151" customWidth="1"/>
    <col min="8" max="8" width="11.00390625" style="151" customWidth="1"/>
    <col min="9" max="9" width="9.7109375" style="151" customWidth="1"/>
    <col min="10" max="10" width="12.28125" style="151" customWidth="1"/>
    <col min="11" max="11" width="12.57421875" style="151" customWidth="1"/>
    <col min="12" max="12" width="13.8515625" style="151" customWidth="1"/>
    <col min="13" max="13" width="13.00390625" style="151" customWidth="1"/>
    <col min="14" max="14" width="15.00390625" style="151" customWidth="1"/>
    <col min="15" max="15" width="18.28125" style="151" customWidth="1"/>
    <col min="16" max="16" width="12.8515625" style="151" customWidth="1"/>
    <col min="17" max="16384" width="9.140625" style="151" customWidth="1"/>
  </cols>
  <sheetData>
    <row r="1" spans="1:12" ht="24" customHeight="1">
      <c r="A1" s="94"/>
      <c r="B1" s="94"/>
      <c r="C1" s="95"/>
      <c r="D1" s="94"/>
      <c r="E1" s="94"/>
      <c r="F1" s="233" t="s">
        <v>300</v>
      </c>
      <c r="G1" s="233"/>
      <c r="H1" s="233"/>
      <c r="I1" s="233"/>
      <c r="J1" s="233"/>
      <c r="K1" s="233"/>
      <c r="L1" s="233"/>
    </row>
    <row r="2" spans="1:12" ht="18.75" customHeight="1">
      <c r="A2" s="94"/>
      <c r="B2" s="94"/>
      <c r="C2" s="95"/>
      <c r="D2" s="94"/>
      <c r="E2" s="94"/>
      <c r="F2" s="233" t="s">
        <v>299</v>
      </c>
      <c r="G2" s="233"/>
      <c r="H2" s="233"/>
      <c r="I2" s="233"/>
      <c r="J2" s="233"/>
      <c r="K2" s="233"/>
      <c r="L2" s="233"/>
    </row>
    <row r="3" spans="1:12" ht="21" customHeight="1">
      <c r="A3" s="94"/>
      <c r="B3" s="94"/>
      <c r="C3" s="95"/>
      <c r="D3" s="94"/>
      <c r="E3" s="94"/>
      <c r="F3" s="233" t="s">
        <v>298</v>
      </c>
      <c r="G3" s="233"/>
      <c r="H3" s="233"/>
      <c r="I3" s="233"/>
      <c r="J3" s="233"/>
      <c r="K3" s="233"/>
      <c r="L3" s="233"/>
    </row>
    <row r="4" spans="1:12" ht="25.5" customHeight="1">
      <c r="A4" s="94"/>
      <c r="B4" s="94"/>
      <c r="C4" s="95"/>
      <c r="D4" s="94"/>
      <c r="E4" s="94"/>
      <c r="F4" s="233" t="s">
        <v>295</v>
      </c>
      <c r="G4" s="233"/>
      <c r="H4" s="233"/>
      <c r="I4" s="233"/>
      <c r="J4" s="233"/>
      <c r="K4" s="233"/>
      <c r="L4" s="233"/>
    </row>
    <row r="5" spans="1:10" ht="18">
      <c r="A5" s="94"/>
      <c r="B5" s="94"/>
      <c r="C5" s="95"/>
      <c r="D5" s="94"/>
      <c r="E5" s="94"/>
      <c r="F5" s="94"/>
      <c r="G5" s="94"/>
      <c r="H5" s="94"/>
      <c r="I5" s="96"/>
      <c r="J5" s="97"/>
    </row>
    <row r="6" spans="1:10" ht="18">
      <c r="A6" s="94"/>
      <c r="B6" s="94"/>
      <c r="C6" s="97"/>
      <c r="D6" s="94"/>
      <c r="E6" s="94"/>
      <c r="F6" s="94"/>
      <c r="G6" s="94"/>
      <c r="H6" s="94"/>
      <c r="I6" s="96"/>
      <c r="J6" s="97"/>
    </row>
    <row r="7" spans="1:10" ht="18">
      <c r="A7" s="98"/>
      <c r="B7" s="98"/>
      <c r="C7" s="99"/>
      <c r="D7" s="98"/>
      <c r="E7" s="98"/>
      <c r="F7" s="98"/>
      <c r="G7" s="98"/>
      <c r="H7" s="98"/>
      <c r="I7" s="96"/>
      <c r="J7" s="99"/>
    </row>
    <row r="8" spans="1:12" ht="87" customHeight="1">
      <c r="A8" s="235" t="s">
        <v>234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</row>
    <row r="9" spans="1:10" ht="18">
      <c r="A9" s="235"/>
      <c r="B9" s="235"/>
      <c r="C9" s="235"/>
      <c r="D9" s="235"/>
      <c r="E9" s="235"/>
      <c r="F9" s="235"/>
      <c r="G9" s="235"/>
      <c r="H9" s="235"/>
      <c r="I9" s="235"/>
      <c r="J9" s="100"/>
    </row>
    <row r="10" spans="1:11" ht="18" thickBot="1">
      <c r="A10" s="100" t="s">
        <v>59</v>
      </c>
      <c r="B10" s="100"/>
      <c r="C10" s="100"/>
      <c r="D10" s="100"/>
      <c r="E10" s="100"/>
      <c r="F10" s="100"/>
      <c r="G10" s="100"/>
      <c r="H10" s="100"/>
      <c r="J10" s="101"/>
      <c r="K10" s="102" t="s">
        <v>0</v>
      </c>
    </row>
    <row r="11" spans="1:12" ht="39.75" customHeight="1">
      <c r="A11" s="236" t="s">
        <v>1</v>
      </c>
      <c r="B11" s="225" t="s">
        <v>60</v>
      </c>
      <c r="C11" s="227" t="s">
        <v>142</v>
      </c>
      <c r="D11" s="229" t="s">
        <v>143</v>
      </c>
      <c r="E11" s="238" t="s">
        <v>144</v>
      </c>
      <c r="F11" s="239"/>
      <c r="G11" s="239"/>
      <c r="H11" s="240"/>
      <c r="I11" s="229" t="s">
        <v>145</v>
      </c>
      <c r="J11" s="231" t="s">
        <v>2</v>
      </c>
      <c r="K11" s="234" t="s">
        <v>4</v>
      </c>
      <c r="L11" s="234"/>
    </row>
    <row r="12" spans="1:12" ht="18">
      <c r="A12" s="237"/>
      <c r="B12" s="226"/>
      <c r="C12" s="228"/>
      <c r="D12" s="230"/>
      <c r="E12" s="241"/>
      <c r="F12" s="242"/>
      <c r="G12" s="242"/>
      <c r="H12" s="243"/>
      <c r="I12" s="230"/>
      <c r="J12" s="232"/>
      <c r="K12" s="103" t="s">
        <v>230</v>
      </c>
      <c r="L12" s="81" t="s">
        <v>233</v>
      </c>
    </row>
    <row r="13" spans="1:12" ht="18">
      <c r="A13" s="152">
        <v>1</v>
      </c>
      <c r="B13" s="153">
        <v>2</v>
      </c>
      <c r="C13" s="154" t="s">
        <v>61</v>
      </c>
      <c r="D13" s="154" t="s">
        <v>62</v>
      </c>
      <c r="E13" s="222" t="s">
        <v>63</v>
      </c>
      <c r="F13" s="223"/>
      <c r="G13" s="223"/>
      <c r="H13" s="224"/>
      <c r="I13" s="154" t="s">
        <v>64</v>
      </c>
      <c r="J13" s="155">
        <v>7</v>
      </c>
      <c r="K13" s="156">
        <v>8</v>
      </c>
      <c r="L13" s="156">
        <v>9</v>
      </c>
    </row>
    <row r="14" spans="1:14" s="161" customFormat="1" ht="69.75">
      <c r="A14" s="157" t="s">
        <v>301</v>
      </c>
      <c r="B14" s="158" t="s">
        <v>114</v>
      </c>
      <c r="C14" s="158"/>
      <c r="D14" s="158"/>
      <c r="E14" s="112"/>
      <c r="F14" s="112"/>
      <c r="G14" s="112"/>
      <c r="H14" s="112"/>
      <c r="I14" s="158"/>
      <c r="J14" s="114">
        <f>J15+J22</f>
        <v>5710</v>
      </c>
      <c r="K14" s="114">
        <f>K15+K22</f>
        <v>5772.75</v>
      </c>
      <c r="L14" s="114">
        <f>L15+L22</f>
        <v>5835.5</v>
      </c>
      <c r="M14" s="159"/>
      <c r="N14" s="160"/>
    </row>
    <row r="15" spans="1:14" s="161" customFormat="1" ht="18">
      <c r="A15" s="162" t="s">
        <v>65</v>
      </c>
      <c r="B15" s="163" t="s">
        <v>114</v>
      </c>
      <c r="C15" s="158" t="s">
        <v>66</v>
      </c>
      <c r="D15" s="158"/>
      <c r="E15" s="112"/>
      <c r="F15" s="112"/>
      <c r="G15" s="112"/>
      <c r="H15" s="164"/>
      <c r="I15" s="158"/>
      <c r="J15" s="114">
        <f aca="true" t="shared" si="0" ref="J15:L20">J16</f>
        <v>210</v>
      </c>
      <c r="K15" s="114">
        <f t="shared" si="0"/>
        <v>215.24999999999997</v>
      </c>
      <c r="L15" s="114">
        <f t="shared" si="0"/>
        <v>220.5</v>
      </c>
      <c r="M15" s="159"/>
      <c r="N15" s="160"/>
    </row>
    <row r="16" spans="1:14" s="161" customFormat="1" ht="35.25">
      <c r="A16" s="165" t="s">
        <v>83</v>
      </c>
      <c r="B16" s="163" t="s">
        <v>114</v>
      </c>
      <c r="C16" s="163" t="s">
        <v>66</v>
      </c>
      <c r="D16" s="163" t="s">
        <v>84</v>
      </c>
      <c r="E16" s="158"/>
      <c r="F16" s="158"/>
      <c r="G16" s="158"/>
      <c r="H16" s="113"/>
      <c r="I16" s="158"/>
      <c r="J16" s="114">
        <f t="shared" si="0"/>
        <v>210</v>
      </c>
      <c r="K16" s="114">
        <f t="shared" si="0"/>
        <v>215.24999999999997</v>
      </c>
      <c r="L16" s="114">
        <f t="shared" si="0"/>
        <v>220.5</v>
      </c>
      <c r="M16" s="159"/>
      <c r="N16" s="160"/>
    </row>
    <row r="17" spans="1:14" s="161" customFormat="1" ht="36">
      <c r="A17" s="166" t="s">
        <v>146</v>
      </c>
      <c r="B17" s="106" t="s">
        <v>114</v>
      </c>
      <c r="C17" s="106" t="s">
        <v>66</v>
      </c>
      <c r="D17" s="106" t="s">
        <v>84</v>
      </c>
      <c r="E17" s="107" t="s">
        <v>147</v>
      </c>
      <c r="F17" s="107" t="s">
        <v>148</v>
      </c>
      <c r="G17" s="107" t="s">
        <v>149</v>
      </c>
      <c r="H17" s="107" t="s">
        <v>150</v>
      </c>
      <c r="I17" s="106"/>
      <c r="J17" s="109">
        <f t="shared" si="0"/>
        <v>210</v>
      </c>
      <c r="K17" s="109">
        <f t="shared" si="0"/>
        <v>215.24999999999997</v>
      </c>
      <c r="L17" s="109">
        <f t="shared" si="0"/>
        <v>220.5</v>
      </c>
      <c r="M17" s="159"/>
      <c r="N17" s="160"/>
    </row>
    <row r="18" spans="1:14" s="161" customFormat="1" ht="18">
      <c r="A18" s="166" t="s">
        <v>151</v>
      </c>
      <c r="B18" s="106" t="s">
        <v>114</v>
      </c>
      <c r="C18" s="106" t="s">
        <v>66</v>
      </c>
      <c r="D18" s="106" t="s">
        <v>84</v>
      </c>
      <c r="E18" s="107" t="s">
        <v>147</v>
      </c>
      <c r="F18" s="107" t="s">
        <v>61</v>
      </c>
      <c r="G18" s="107" t="s">
        <v>149</v>
      </c>
      <c r="H18" s="107" t="s">
        <v>150</v>
      </c>
      <c r="I18" s="106"/>
      <c r="J18" s="109">
        <f t="shared" si="0"/>
        <v>210</v>
      </c>
      <c r="K18" s="109">
        <f t="shared" si="0"/>
        <v>215.24999999999997</v>
      </c>
      <c r="L18" s="109">
        <f t="shared" si="0"/>
        <v>220.5</v>
      </c>
      <c r="M18" s="159"/>
      <c r="N18" s="160"/>
    </row>
    <row r="19" spans="1:14" s="161" customFormat="1" ht="36">
      <c r="A19" s="104" t="s">
        <v>115</v>
      </c>
      <c r="B19" s="106" t="s">
        <v>114</v>
      </c>
      <c r="C19" s="106" t="s">
        <v>66</v>
      </c>
      <c r="D19" s="106" t="s">
        <v>84</v>
      </c>
      <c r="E19" s="107" t="s">
        <v>147</v>
      </c>
      <c r="F19" s="107" t="s">
        <v>61</v>
      </c>
      <c r="G19" s="107" t="s">
        <v>149</v>
      </c>
      <c r="H19" s="107" t="s">
        <v>152</v>
      </c>
      <c r="I19" s="106"/>
      <c r="J19" s="109">
        <f t="shared" si="0"/>
        <v>210</v>
      </c>
      <c r="K19" s="109">
        <f t="shared" si="0"/>
        <v>215.24999999999997</v>
      </c>
      <c r="L19" s="109">
        <f t="shared" si="0"/>
        <v>220.5</v>
      </c>
      <c r="M19" s="159"/>
      <c r="N19" s="160"/>
    </row>
    <row r="20" spans="1:14" s="161" customFormat="1" ht="54">
      <c r="A20" s="104" t="s">
        <v>153</v>
      </c>
      <c r="B20" s="106" t="s">
        <v>114</v>
      </c>
      <c r="C20" s="106" t="s">
        <v>66</v>
      </c>
      <c r="D20" s="106" t="s">
        <v>84</v>
      </c>
      <c r="E20" s="107" t="s">
        <v>147</v>
      </c>
      <c r="F20" s="107" t="s">
        <v>61</v>
      </c>
      <c r="G20" s="107" t="s">
        <v>149</v>
      </c>
      <c r="H20" s="107" t="s">
        <v>152</v>
      </c>
      <c r="I20" s="108">
        <v>200</v>
      </c>
      <c r="J20" s="109">
        <f t="shared" si="0"/>
        <v>210</v>
      </c>
      <c r="K20" s="109">
        <f t="shared" si="0"/>
        <v>215.24999999999997</v>
      </c>
      <c r="L20" s="109">
        <f t="shared" si="0"/>
        <v>220.5</v>
      </c>
      <c r="M20" s="159"/>
      <c r="N20" s="160"/>
    </row>
    <row r="21" spans="1:14" s="161" customFormat="1" ht="54">
      <c r="A21" s="104" t="s">
        <v>75</v>
      </c>
      <c r="B21" s="106" t="s">
        <v>114</v>
      </c>
      <c r="C21" s="106" t="s">
        <v>66</v>
      </c>
      <c r="D21" s="106" t="s">
        <v>84</v>
      </c>
      <c r="E21" s="107" t="s">
        <v>147</v>
      </c>
      <c r="F21" s="107" t="s">
        <v>61</v>
      </c>
      <c r="G21" s="107" t="s">
        <v>149</v>
      </c>
      <c r="H21" s="107" t="s">
        <v>152</v>
      </c>
      <c r="I21" s="106" t="s">
        <v>76</v>
      </c>
      <c r="J21" s="109">
        <f>210</f>
        <v>210</v>
      </c>
      <c r="K21" s="109">
        <f>J21*M21</f>
        <v>215.24999999999997</v>
      </c>
      <c r="L21" s="109">
        <f>J21*N21</f>
        <v>220.5</v>
      </c>
      <c r="M21" s="159">
        <v>1.025</v>
      </c>
      <c r="N21" s="160">
        <v>1.05</v>
      </c>
    </row>
    <row r="22" spans="1:14" s="161" customFormat="1" ht="18">
      <c r="A22" s="162" t="s">
        <v>92</v>
      </c>
      <c r="B22" s="113" t="s">
        <v>114</v>
      </c>
      <c r="C22" s="158" t="s">
        <v>93</v>
      </c>
      <c r="D22" s="158"/>
      <c r="E22" s="158"/>
      <c r="F22" s="158"/>
      <c r="G22" s="158"/>
      <c r="H22" s="158"/>
      <c r="I22" s="158"/>
      <c r="J22" s="114">
        <f>J23+J32</f>
        <v>5500</v>
      </c>
      <c r="K22" s="114">
        <f>K23+K32</f>
        <v>5557.5</v>
      </c>
      <c r="L22" s="114">
        <f>L23+L32</f>
        <v>5615</v>
      </c>
      <c r="M22" s="159"/>
      <c r="N22" s="160"/>
    </row>
    <row r="23" spans="1:14" s="161" customFormat="1" ht="18">
      <c r="A23" s="167" t="s">
        <v>154</v>
      </c>
      <c r="B23" s="158" t="s">
        <v>114</v>
      </c>
      <c r="C23" s="158" t="s">
        <v>93</v>
      </c>
      <c r="D23" s="158" t="s">
        <v>66</v>
      </c>
      <c r="E23" s="168"/>
      <c r="F23" s="168"/>
      <c r="G23" s="168"/>
      <c r="H23" s="168"/>
      <c r="I23" s="168"/>
      <c r="J23" s="114">
        <f>J25</f>
        <v>2300</v>
      </c>
      <c r="K23" s="114">
        <f>K25</f>
        <v>2357.5</v>
      </c>
      <c r="L23" s="114">
        <f>L25</f>
        <v>2415</v>
      </c>
      <c r="M23" s="159"/>
      <c r="N23" s="160"/>
    </row>
    <row r="24" spans="1:14" s="161" customFormat="1" ht="54">
      <c r="A24" s="169" t="s">
        <v>116</v>
      </c>
      <c r="B24" s="106" t="s">
        <v>114</v>
      </c>
      <c r="C24" s="106" t="s">
        <v>93</v>
      </c>
      <c r="D24" s="106" t="s">
        <v>66</v>
      </c>
      <c r="E24" s="107" t="s">
        <v>155</v>
      </c>
      <c r="F24" s="107" t="s">
        <v>148</v>
      </c>
      <c r="G24" s="107" t="s">
        <v>149</v>
      </c>
      <c r="H24" s="107" t="s">
        <v>150</v>
      </c>
      <c r="I24" s="170"/>
      <c r="J24" s="109">
        <f>J25</f>
        <v>2300</v>
      </c>
      <c r="K24" s="109">
        <f>K25</f>
        <v>2357.5</v>
      </c>
      <c r="L24" s="109">
        <f>L25</f>
        <v>2415</v>
      </c>
      <c r="M24" s="159"/>
      <c r="N24" s="160"/>
    </row>
    <row r="25" spans="1:14" s="161" customFormat="1" ht="36">
      <c r="A25" s="171" t="s">
        <v>156</v>
      </c>
      <c r="B25" s="106" t="s">
        <v>114</v>
      </c>
      <c r="C25" s="172" t="s">
        <v>93</v>
      </c>
      <c r="D25" s="172" t="s">
        <v>66</v>
      </c>
      <c r="E25" s="107" t="s">
        <v>155</v>
      </c>
      <c r="F25" s="107" t="s">
        <v>157</v>
      </c>
      <c r="G25" s="107" t="s">
        <v>149</v>
      </c>
      <c r="H25" s="107" t="s">
        <v>150</v>
      </c>
      <c r="I25" s="172"/>
      <c r="J25" s="173">
        <f>J26+J29</f>
        <v>2300</v>
      </c>
      <c r="K25" s="173">
        <f>K26+K29</f>
        <v>2357.5</v>
      </c>
      <c r="L25" s="173">
        <f>L26+L29</f>
        <v>2415</v>
      </c>
      <c r="M25" s="159"/>
      <c r="N25" s="160"/>
    </row>
    <row r="26" spans="1:14" s="161" customFormat="1" ht="36">
      <c r="A26" s="104" t="s">
        <v>158</v>
      </c>
      <c r="B26" s="106" t="s">
        <v>114</v>
      </c>
      <c r="C26" s="106" t="s">
        <v>93</v>
      </c>
      <c r="D26" s="106" t="s">
        <v>66</v>
      </c>
      <c r="E26" s="107" t="s">
        <v>155</v>
      </c>
      <c r="F26" s="107" t="s">
        <v>157</v>
      </c>
      <c r="G26" s="107" t="s">
        <v>149</v>
      </c>
      <c r="H26" s="107" t="s">
        <v>159</v>
      </c>
      <c r="I26" s="106"/>
      <c r="J26" s="109">
        <f aca="true" t="shared" si="1" ref="J26:L27">J27</f>
        <v>1000</v>
      </c>
      <c r="K26" s="109">
        <f t="shared" si="1"/>
        <v>1025</v>
      </c>
      <c r="L26" s="109">
        <f t="shared" si="1"/>
        <v>1050</v>
      </c>
      <c r="M26" s="159"/>
      <c r="N26" s="160"/>
    </row>
    <row r="27" spans="1:14" s="161" customFormat="1" ht="54">
      <c r="A27" s="104" t="s">
        <v>153</v>
      </c>
      <c r="B27" s="106" t="s">
        <v>114</v>
      </c>
      <c r="C27" s="106" t="s">
        <v>93</v>
      </c>
      <c r="D27" s="106" t="s">
        <v>66</v>
      </c>
      <c r="E27" s="107" t="s">
        <v>155</v>
      </c>
      <c r="F27" s="107" t="s">
        <v>157</v>
      </c>
      <c r="G27" s="107" t="s">
        <v>149</v>
      </c>
      <c r="H27" s="107" t="s">
        <v>159</v>
      </c>
      <c r="I27" s="106" t="s">
        <v>74</v>
      </c>
      <c r="J27" s="109">
        <f t="shared" si="1"/>
        <v>1000</v>
      </c>
      <c r="K27" s="109">
        <f t="shared" si="1"/>
        <v>1025</v>
      </c>
      <c r="L27" s="109">
        <f t="shared" si="1"/>
        <v>1050</v>
      </c>
      <c r="M27" s="159"/>
      <c r="N27" s="160"/>
    </row>
    <row r="28" spans="1:14" s="161" customFormat="1" ht="54">
      <c r="A28" s="104" t="s">
        <v>75</v>
      </c>
      <c r="B28" s="106" t="s">
        <v>114</v>
      </c>
      <c r="C28" s="106" t="s">
        <v>93</v>
      </c>
      <c r="D28" s="106" t="s">
        <v>66</v>
      </c>
      <c r="E28" s="107" t="s">
        <v>155</v>
      </c>
      <c r="F28" s="107" t="s">
        <v>157</v>
      </c>
      <c r="G28" s="107" t="s">
        <v>149</v>
      </c>
      <c r="H28" s="107" t="s">
        <v>159</v>
      </c>
      <c r="I28" s="106" t="s">
        <v>76</v>
      </c>
      <c r="J28" s="109">
        <f>1000</f>
        <v>1000</v>
      </c>
      <c r="K28" s="109">
        <f>J28*M28</f>
        <v>1025</v>
      </c>
      <c r="L28" s="109">
        <f>J28*N28</f>
        <v>1050</v>
      </c>
      <c r="M28" s="159">
        <v>1.025</v>
      </c>
      <c r="N28" s="160">
        <v>1.05</v>
      </c>
    </row>
    <row r="29" spans="1:14" s="161" customFormat="1" ht="72">
      <c r="A29" s="104" t="s">
        <v>160</v>
      </c>
      <c r="B29" s="106" t="s">
        <v>114</v>
      </c>
      <c r="C29" s="106" t="s">
        <v>93</v>
      </c>
      <c r="D29" s="106" t="s">
        <v>66</v>
      </c>
      <c r="E29" s="107" t="s">
        <v>155</v>
      </c>
      <c r="F29" s="107" t="s">
        <v>157</v>
      </c>
      <c r="G29" s="107" t="s">
        <v>149</v>
      </c>
      <c r="H29" s="107" t="s">
        <v>161</v>
      </c>
      <c r="I29" s="108"/>
      <c r="J29" s="109">
        <f aca="true" t="shared" si="2" ref="J29:L30">J30</f>
        <v>1300</v>
      </c>
      <c r="K29" s="109">
        <f t="shared" si="2"/>
        <v>1332.4999999999998</v>
      </c>
      <c r="L29" s="109">
        <f t="shared" si="2"/>
        <v>1365</v>
      </c>
      <c r="M29" s="159"/>
      <c r="N29" s="160"/>
    </row>
    <row r="30" spans="1:14" s="161" customFormat="1" ht="54">
      <c r="A30" s="104" t="s">
        <v>153</v>
      </c>
      <c r="B30" s="106" t="s">
        <v>114</v>
      </c>
      <c r="C30" s="106" t="s">
        <v>93</v>
      </c>
      <c r="D30" s="106" t="s">
        <v>66</v>
      </c>
      <c r="E30" s="107" t="s">
        <v>155</v>
      </c>
      <c r="F30" s="107" t="s">
        <v>157</v>
      </c>
      <c r="G30" s="107" t="s">
        <v>149</v>
      </c>
      <c r="H30" s="107" t="s">
        <v>161</v>
      </c>
      <c r="I30" s="108">
        <v>200</v>
      </c>
      <c r="J30" s="109">
        <f t="shared" si="2"/>
        <v>1300</v>
      </c>
      <c r="K30" s="109">
        <f t="shared" si="2"/>
        <v>1332.4999999999998</v>
      </c>
      <c r="L30" s="109">
        <f t="shared" si="2"/>
        <v>1365</v>
      </c>
      <c r="M30" s="159"/>
      <c r="N30" s="160"/>
    </row>
    <row r="31" spans="1:14" s="161" customFormat="1" ht="54">
      <c r="A31" s="104" t="s">
        <v>75</v>
      </c>
      <c r="B31" s="106" t="s">
        <v>114</v>
      </c>
      <c r="C31" s="106" t="s">
        <v>93</v>
      </c>
      <c r="D31" s="106" t="s">
        <v>66</v>
      </c>
      <c r="E31" s="107" t="s">
        <v>155</v>
      </c>
      <c r="F31" s="107" t="s">
        <v>157</v>
      </c>
      <c r="G31" s="107" t="s">
        <v>149</v>
      </c>
      <c r="H31" s="107" t="s">
        <v>161</v>
      </c>
      <c r="I31" s="108">
        <v>240</v>
      </c>
      <c r="J31" s="109">
        <f>1300</f>
        <v>1300</v>
      </c>
      <c r="K31" s="109">
        <f>J31*M31</f>
        <v>1332.4999999999998</v>
      </c>
      <c r="L31" s="109">
        <f>J31*N31</f>
        <v>1365</v>
      </c>
      <c r="M31" s="159">
        <v>1.025</v>
      </c>
      <c r="N31" s="160">
        <v>1.05</v>
      </c>
    </row>
    <row r="32" spans="1:12" s="161" customFormat="1" ht="18">
      <c r="A32" s="174" t="s">
        <v>162</v>
      </c>
      <c r="B32" s="158" t="s">
        <v>114</v>
      </c>
      <c r="C32" s="158" t="s">
        <v>93</v>
      </c>
      <c r="D32" s="158" t="s">
        <v>88</v>
      </c>
      <c r="E32" s="175"/>
      <c r="F32" s="175"/>
      <c r="G32" s="175"/>
      <c r="H32" s="175"/>
      <c r="I32" s="176"/>
      <c r="J32" s="114">
        <f>J33</f>
        <v>3200</v>
      </c>
      <c r="K32" s="114">
        <f aca="true" t="shared" si="3" ref="K32:L34">K33</f>
        <v>3200</v>
      </c>
      <c r="L32" s="114">
        <f t="shared" si="3"/>
        <v>3200</v>
      </c>
    </row>
    <row r="33" spans="1:13" s="161" customFormat="1" ht="87">
      <c r="A33" s="174" t="s">
        <v>242</v>
      </c>
      <c r="B33" s="158" t="s">
        <v>114</v>
      </c>
      <c r="C33" s="158" t="s">
        <v>93</v>
      </c>
      <c r="D33" s="158" t="s">
        <v>88</v>
      </c>
      <c r="E33" s="158" t="s">
        <v>243</v>
      </c>
      <c r="F33" s="158" t="s">
        <v>148</v>
      </c>
      <c r="G33" s="158" t="s">
        <v>149</v>
      </c>
      <c r="H33" s="158" t="s">
        <v>150</v>
      </c>
      <c r="I33" s="176"/>
      <c r="J33" s="114">
        <f>J34</f>
        <v>3200</v>
      </c>
      <c r="K33" s="114">
        <f t="shared" si="3"/>
        <v>3200</v>
      </c>
      <c r="L33" s="114">
        <f t="shared" si="3"/>
        <v>3200</v>
      </c>
      <c r="M33" s="159"/>
    </row>
    <row r="34" spans="1:13" s="161" customFormat="1" ht="54">
      <c r="A34" s="79" t="s">
        <v>244</v>
      </c>
      <c r="B34" s="106" t="s">
        <v>114</v>
      </c>
      <c r="C34" s="106" t="s">
        <v>93</v>
      </c>
      <c r="D34" s="106" t="s">
        <v>88</v>
      </c>
      <c r="E34" s="106" t="s">
        <v>243</v>
      </c>
      <c r="F34" s="106" t="s">
        <v>62</v>
      </c>
      <c r="G34" s="106" t="s">
        <v>149</v>
      </c>
      <c r="H34" s="106" t="s">
        <v>150</v>
      </c>
      <c r="I34" s="108"/>
      <c r="J34" s="109">
        <f>J35</f>
        <v>3200</v>
      </c>
      <c r="K34" s="109">
        <f t="shared" si="3"/>
        <v>3200</v>
      </c>
      <c r="L34" s="109">
        <f t="shared" si="3"/>
        <v>3200</v>
      </c>
      <c r="M34" s="159"/>
    </row>
    <row r="35" spans="1:13" s="161" customFormat="1" ht="54">
      <c r="A35" s="79" t="s">
        <v>245</v>
      </c>
      <c r="B35" s="106" t="s">
        <v>114</v>
      </c>
      <c r="C35" s="106" t="s">
        <v>93</v>
      </c>
      <c r="D35" s="106" t="s">
        <v>88</v>
      </c>
      <c r="E35" s="106" t="s">
        <v>243</v>
      </c>
      <c r="F35" s="106" t="s">
        <v>62</v>
      </c>
      <c r="G35" s="106" t="s">
        <v>66</v>
      </c>
      <c r="H35" s="106" t="s">
        <v>150</v>
      </c>
      <c r="I35" s="108"/>
      <c r="J35" s="109">
        <f>J36+J39</f>
        <v>3200</v>
      </c>
      <c r="K35" s="109">
        <f>K36+K39</f>
        <v>3200</v>
      </c>
      <c r="L35" s="109">
        <f>L36+L39</f>
        <v>3200</v>
      </c>
      <c r="M35" s="159"/>
    </row>
    <row r="36" spans="1:13" s="161" customFormat="1" ht="54">
      <c r="A36" s="79" t="s">
        <v>246</v>
      </c>
      <c r="B36" s="106" t="s">
        <v>114</v>
      </c>
      <c r="C36" s="106" t="s">
        <v>93</v>
      </c>
      <c r="D36" s="106" t="s">
        <v>88</v>
      </c>
      <c r="E36" s="106" t="s">
        <v>243</v>
      </c>
      <c r="F36" s="106" t="s">
        <v>62</v>
      </c>
      <c r="G36" s="106" t="s">
        <v>66</v>
      </c>
      <c r="H36" s="106" t="s">
        <v>247</v>
      </c>
      <c r="I36" s="108"/>
      <c r="J36" s="109">
        <f aca="true" t="shared" si="4" ref="J36:L37">J37</f>
        <v>1000</v>
      </c>
      <c r="K36" s="109">
        <f t="shared" si="4"/>
        <v>1000</v>
      </c>
      <c r="L36" s="109">
        <f t="shared" si="4"/>
        <v>1000</v>
      </c>
      <c r="M36" s="159"/>
    </row>
    <row r="37" spans="1:13" s="161" customFormat="1" ht="72">
      <c r="A37" s="104" t="s">
        <v>165</v>
      </c>
      <c r="B37" s="106" t="s">
        <v>114</v>
      </c>
      <c r="C37" s="106" t="s">
        <v>93</v>
      </c>
      <c r="D37" s="106" t="s">
        <v>88</v>
      </c>
      <c r="E37" s="106" t="s">
        <v>243</v>
      </c>
      <c r="F37" s="106" t="s">
        <v>62</v>
      </c>
      <c r="G37" s="106" t="s">
        <v>66</v>
      </c>
      <c r="H37" s="106" t="s">
        <v>247</v>
      </c>
      <c r="I37" s="108">
        <v>400</v>
      </c>
      <c r="J37" s="109">
        <f t="shared" si="4"/>
        <v>1000</v>
      </c>
      <c r="K37" s="109">
        <f t="shared" si="4"/>
        <v>1000</v>
      </c>
      <c r="L37" s="109">
        <f t="shared" si="4"/>
        <v>1000</v>
      </c>
      <c r="M37" s="159"/>
    </row>
    <row r="38" spans="1:14" s="161" customFormat="1" ht="18">
      <c r="A38" s="104" t="s">
        <v>248</v>
      </c>
      <c r="B38" s="106" t="s">
        <v>114</v>
      </c>
      <c r="C38" s="106" t="s">
        <v>93</v>
      </c>
      <c r="D38" s="106" t="s">
        <v>88</v>
      </c>
      <c r="E38" s="106" t="s">
        <v>243</v>
      </c>
      <c r="F38" s="106" t="s">
        <v>62</v>
      </c>
      <c r="G38" s="106" t="s">
        <v>66</v>
      </c>
      <c r="H38" s="106" t="s">
        <v>247</v>
      </c>
      <c r="I38" s="108">
        <v>410</v>
      </c>
      <c r="J38" s="109">
        <f>1000</f>
        <v>1000</v>
      </c>
      <c r="K38" s="109">
        <f>1000</f>
        <v>1000</v>
      </c>
      <c r="L38" s="109">
        <f>1000</f>
        <v>1000</v>
      </c>
      <c r="M38" s="159" t="s">
        <v>287</v>
      </c>
      <c r="N38" s="177" t="s">
        <v>287</v>
      </c>
    </row>
    <row r="39" spans="1:13" s="161" customFormat="1" ht="54">
      <c r="A39" s="79" t="s">
        <v>249</v>
      </c>
      <c r="B39" s="106" t="s">
        <v>114</v>
      </c>
      <c r="C39" s="106" t="s">
        <v>93</v>
      </c>
      <c r="D39" s="106" t="s">
        <v>88</v>
      </c>
      <c r="E39" s="106" t="s">
        <v>243</v>
      </c>
      <c r="F39" s="106" t="s">
        <v>62</v>
      </c>
      <c r="G39" s="106" t="s">
        <v>66</v>
      </c>
      <c r="H39" s="106" t="s">
        <v>250</v>
      </c>
      <c r="I39" s="108"/>
      <c r="J39" s="109">
        <f aca="true" t="shared" si="5" ref="J39:L40">J40</f>
        <v>2200</v>
      </c>
      <c r="K39" s="109">
        <f t="shared" si="5"/>
        <v>2200</v>
      </c>
      <c r="L39" s="109">
        <f t="shared" si="5"/>
        <v>2200</v>
      </c>
      <c r="M39" s="159"/>
    </row>
    <row r="40" spans="1:13" s="161" customFormat="1" ht="54">
      <c r="A40" s="104" t="s">
        <v>153</v>
      </c>
      <c r="B40" s="106" t="s">
        <v>114</v>
      </c>
      <c r="C40" s="106" t="s">
        <v>93</v>
      </c>
      <c r="D40" s="106" t="s">
        <v>88</v>
      </c>
      <c r="E40" s="106" t="s">
        <v>243</v>
      </c>
      <c r="F40" s="106" t="s">
        <v>62</v>
      </c>
      <c r="G40" s="106" t="s">
        <v>66</v>
      </c>
      <c r="H40" s="106" t="s">
        <v>250</v>
      </c>
      <c r="I40" s="108">
        <v>200</v>
      </c>
      <c r="J40" s="109">
        <f t="shared" si="5"/>
        <v>2200</v>
      </c>
      <c r="K40" s="109">
        <f t="shared" si="5"/>
        <v>2200</v>
      </c>
      <c r="L40" s="109">
        <f t="shared" si="5"/>
        <v>2200</v>
      </c>
      <c r="M40" s="159"/>
    </row>
    <row r="41" spans="1:14" s="161" customFormat="1" ht="54">
      <c r="A41" s="104" t="s">
        <v>75</v>
      </c>
      <c r="B41" s="106" t="s">
        <v>114</v>
      </c>
      <c r="C41" s="106" t="s">
        <v>93</v>
      </c>
      <c r="D41" s="106" t="s">
        <v>88</v>
      </c>
      <c r="E41" s="106" t="s">
        <v>243</v>
      </c>
      <c r="F41" s="106" t="s">
        <v>62</v>
      </c>
      <c r="G41" s="106" t="s">
        <v>66</v>
      </c>
      <c r="H41" s="106" t="s">
        <v>250</v>
      </c>
      <c r="I41" s="108">
        <v>240</v>
      </c>
      <c r="J41" s="109">
        <f>2200</f>
        <v>2200</v>
      </c>
      <c r="K41" s="109">
        <f>2200</f>
        <v>2200</v>
      </c>
      <c r="L41" s="109">
        <f>2200</f>
        <v>2200</v>
      </c>
      <c r="M41" s="159" t="s">
        <v>287</v>
      </c>
      <c r="N41" s="161" t="s">
        <v>287</v>
      </c>
    </row>
    <row r="42" spans="1:13" s="161" customFormat="1" ht="72" hidden="1">
      <c r="A42" s="104" t="s">
        <v>165</v>
      </c>
      <c r="B42" s="106" t="s">
        <v>114</v>
      </c>
      <c r="C42" s="106" t="s">
        <v>93</v>
      </c>
      <c r="D42" s="106" t="s">
        <v>88</v>
      </c>
      <c r="E42" s="107" t="s">
        <v>155</v>
      </c>
      <c r="F42" s="107" t="s">
        <v>163</v>
      </c>
      <c r="G42" s="107" t="s">
        <v>149</v>
      </c>
      <c r="H42" s="107" t="s">
        <v>164</v>
      </c>
      <c r="I42" s="108">
        <v>400</v>
      </c>
      <c r="J42" s="109">
        <f>J43</f>
        <v>0</v>
      </c>
      <c r="K42" s="109">
        <f>K43</f>
        <v>0</v>
      </c>
      <c r="L42" s="109">
        <f>L43</f>
        <v>0</v>
      </c>
      <c r="M42" s="159"/>
    </row>
    <row r="43" spans="1:14" s="161" customFormat="1" ht="18" hidden="1">
      <c r="A43" s="104" t="s">
        <v>166</v>
      </c>
      <c r="B43" s="106" t="s">
        <v>114</v>
      </c>
      <c r="C43" s="106" t="s">
        <v>93</v>
      </c>
      <c r="D43" s="106" t="s">
        <v>88</v>
      </c>
      <c r="E43" s="107" t="s">
        <v>155</v>
      </c>
      <c r="F43" s="107" t="s">
        <v>163</v>
      </c>
      <c r="G43" s="107" t="s">
        <v>149</v>
      </c>
      <c r="H43" s="107" t="s">
        <v>164</v>
      </c>
      <c r="I43" s="108">
        <v>410</v>
      </c>
      <c r="J43" s="109">
        <f>0</f>
        <v>0</v>
      </c>
      <c r="K43" s="109">
        <f>0</f>
        <v>0</v>
      </c>
      <c r="L43" s="109">
        <f>0</f>
        <v>0</v>
      </c>
      <c r="M43" s="159" t="s">
        <v>287</v>
      </c>
      <c r="N43" s="161" t="s">
        <v>287</v>
      </c>
    </row>
    <row r="44" spans="1:14" s="161" customFormat="1" ht="35.25">
      <c r="A44" s="174" t="s">
        <v>117</v>
      </c>
      <c r="B44" s="158" t="s">
        <v>118</v>
      </c>
      <c r="C44" s="158"/>
      <c r="D44" s="158"/>
      <c r="E44" s="112"/>
      <c r="F44" s="112"/>
      <c r="G44" s="112"/>
      <c r="H44" s="112"/>
      <c r="I44" s="158"/>
      <c r="J44" s="114">
        <f>J45+J57+J78+J87+J139+J148</f>
        <v>32114.4</v>
      </c>
      <c r="K44" s="114">
        <f>K45+K57+K78+K87+K139+K148</f>
        <v>33839.442500000005</v>
      </c>
      <c r="L44" s="114">
        <f>L45+L57+L78+L87+L139+L148</f>
        <v>35599.385</v>
      </c>
      <c r="M44" s="159" t="s">
        <v>287</v>
      </c>
      <c r="N44" s="161" t="s">
        <v>287</v>
      </c>
    </row>
    <row r="45" spans="1:14" s="161" customFormat="1" ht="18">
      <c r="A45" s="162" t="s">
        <v>65</v>
      </c>
      <c r="B45" s="158" t="s">
        <v>118</v>
      </c>
      <c r="C45" s="158" t="s">
        <v>66</v>
      </c>
      <c r="D45" s="163"/>
      <c r="E45" s="112"/>
      <c r="F45" s="112"/>
      <c r="G45" s="112"/>
      <c r="H45" s="112"/>
      <c r="I45" s="158"/>
      <c r="J45" s="114">
        <f>J46+J51</f>
        <v>77.1</v>
      </c>
      <c r="K45" s="114">
        <f>K46+K51</f>
        <v>77.7775</v>
      </c>
      <c r="L45" s="114">
        <f>L46+L51</f>
        <v>78.455</v>
      </c>
      <c r="M45" s="159" t="s">
        <v>287</v>
      </c>
      <c r="N45" s="161" t="s">
        <v>287</v>
      </c>
    </row>
    <row r="46" spans="1:14" s="161" customFormat="1" ht="18">
      <c r="A46" s="174" t="s">
        <v>167</v>
      </c>
      <c r="B46" s="163" t="s">
        <v>118</v>
      </c>
      <c r="C46" s="158" t="s">
        <v>66</v>
      </c>
      <c r="D46" s="158" t="s">
        <v>82</v>
      </c>
      <c r="E46" s="158"/>
      <c r="F46" s="158"/>
      <c r="G46" s="158"/>
      <c r="H46" s="158"/>
      <c r="I46" s="158"/>
      <c r="J46" s="178">
        <f>J47</f>
        <v>50</v>
      </c>
      <c r="K46" s="178">
        <f aca="true" t="shared" si="6" ref="K46:L49">K47</f>
        <v>50</v>
      </c>
      <c r="L46" s="178">
        <f t="shared" si="6"/>
        <v>50</v>
      </c>
      <c r="M46" s="159" t="s">
        <v>287</v>
      </c>
      <c r="N46" s="161" t="s">
        <v>287</v>
      </c>
    </row>
    <row r="47" spans="1:14" s="161" customFormat="1" ht="18">
      <c r="A47" s="169" t="s">
        <v>168</v>
      </c>
      <c r="B47" s="179" t="s">
        <v>118</v>
      </c>
      <c r="C47" s="106" t="s">
        <v>66</v>
      </c>
      <c r="D47" s="106" t="s">
        <v>82</v>
      </c>
      <c r="E47" s="107" t="s">
        <v>147</v>
      </c>
      <c r="F47" s="107" t="s">
        <v>169</v>
      </c>
      <c r="G47" s="107" t="s">
        <v>149</v>
      </c>
      <c r="H47" s="107" t="s">
        <v>150</v>
      </c>
      <c r="I47" s="106"/>
      <c r="J47" s="180">
        <f>J48</f>
        <v>50</v>
      </c>
      <c r="K47" s="180">
        <f t="shared" si="6"/>
        <v>50</v>
      </c>
      <c r="L47" s="180">
        <f t="shared" si="6"/>
        <v>50</v>
      </c>
      <c r="M47" s="159" t="s">
        <v>287</v>
      </c>
      <c r="N47" s="161" t="s">
        <v>287</v>
      </c>
    </row>
    <row r="48" spans="1:14" s="161" customFormat="1" ht="36">
      <c r="A48" s="104" t="s">
        <v>170</v>
      </c>
      <c r="B48" s="179" t="s">
        <v>118</v>
      </c>
      <c r="C48" s="106" t="s">
        <v>66</v>
      </c>
      <c r="D48" s="106" t="s">
        <v>82</v>
      </c>
      <c r="E48" s="107" t="s">
        <v>147</v>
      </c>
      <c r="F48" s="107" t="s">
        <v>169</v>
      </c>
      <c r="G48" s="107" t="s">
        <v>149</v>
      </c>
      <c r="H48" s="107" t="s">
        <v>171</v>
      </c>
      <c r="I48" s="106"/>
      <c r="J48" s="180">
        <f>J49</f>
        <v>50</v>
      </c>
      <c r="K48" s="180">
        <f t="shared" si="6"/>
        <v>50</v>
      </c>
      <c r="L48" s="180">
        <f t="shared" si="6"/>
        <v>50</v>
      </c>
      <c r="M48" s="159" t="s">
        <v>287</v>
      </c>
      <c r="N48" s="161" t="s">
        <v>287</v>
      </c>
    </row>
    <row r="49" spans="1:14" s="161" customFormat="1" ht="18">
      <c r="A49" s="104" t="s">
        <v>77</v>
      </c>
      <c r="B49" s="179" t="s">
        <v>118</v>
      </c>
      <c r="C49" s="106" t="s">
        <v>66</v>
      </c>
      <c r="D49" s="106" t="s">
        <v>82</v>
      </c>
      <c r="E49" s="107" t="s">
        <v>147</v>
      </c>
      <c r="F49" s="107" t="s">
        <v>169</v>
      </c>
      <c r="G49" s="107" t="s">
        <v>149</v>
      </c>
      <c r="H49" s="107" t="s">
        <v>171</v>
      </c>
      <c r="I49" s="106" t="s">
        <v>78</v>
      </c>
      <c r="J49" s="109">
        <f>J50</f>
        <v>50</v>
      </c>
      <c r="K49" s="109">
        <f t="shared" si="6"/>
        <v>50</v>
      </c>
      <c r="L49" s="109">
        <f t="shared" si="6"/>
        <v>50</v>
      </c>
      <c r="M49" s="159" t="s">
        <v>287</v>
      </c>
      <c r="N49" s="161" t="s">
        <v>287</v>
      </c>
    </row>
    <row r="50" spans="1:14" s="161" customFormat="1" ht="18">
      <c r="A50" s="104" t="s">
        <v>168</v>
      </c>
      <c r="B50" s="179" t="s">
        <v>118</v>
      </c>
      <c r="C50" s="106" t="s">
        <v>66</v>
      </c>
      <c r="D50" s="106" t="s">
        <v>82</v>
      </c>
      <c r="E50" s="107" t="s">
        <v>147</v>
      </c>
      <c r="F50" s="107" t="s">
        <v>169</v>
      </c>
      <c r="G50" s="107" t="s">
        <v>149</v>
      </c>
      <c r="H50" s="107" t="s">
        <v>171</v>
      </c>
      <c r="I50" s="106" t="s">
        <v>172</v>
      </c>
      <c r="J50" s="109">
        <f>50</f>
        <v>50</v>
      </c>
      <c r="K50" s="109">
        <f>50</f>
        <v>50</v>
      </c>
      <c r="L50" s="109">
        <f>50</f>
        <v>50</v>
      </c>
      <c r="M50" s="159" t="s">
        <v>287</v>
      </c>
      <c r="N50" s="161" t="s">
        <v>287</v>
      </c>
    </row>
    <row r="51" spans="1:14" s="161" customFormat="1" ht="35.25">
      <c r="A51" s="174" t="s">
        <v>83</v>
      </c>
      <c r="B51" s="158" t="s">
        <v>118</v>
      </c>
      <c r="C51" s="158" t="s">
        <v>66</v>
      </c>
      <c r="D51" s="158" t="s">
        <v>84</v>
      </c>
      <c r="E51" s="158"/>
      <c r="F51" s="158"/>
      <c r="G51" s="158"/>
      <c r="H51" s="158"/>
      <c r="I51" s="158"/>
      <c r="J51" s="114">
        <f>J52</f>
        <v>27.1</v>
      </c>
      <c r="K51" s="114">
        <f aca="true" t="shared" si="7" ref="K51:L55">K52</f>
        <v>27.7775</v>
      </c>
      <c r="L51" s="114">
        <f t="shared" si="7"/>
        <v>28.455000000000002</v>
      </c>
      <c r="M51" s="159"/>
      <c r="N51" s="160"/>
    </row>
    <row r="52" spans="1:14" s="161" customFormat="1" ht="36">
      <c r="A52" s="104" t="s">
        <v>211</v>
      </c>
      <c r="B52" s="106" t="s">
        <v>118</v>
      </c>
      <c r="C52" s="106" t="s">
        <v>66</v>
      </c>
      <c r="D52" s="106" t="s">
        <v>84</v>
      </c>
      <c r="E52" s="181">
        <v>91</v>
      </c>
      <c r="F52" s="181">
        <v>0</v>
      </c>
      <c r="G52" s="181" t="s">
        <v>149</v>
      </c>
      <c r="H52" s="106" t="s">
        <v>150</v>
      </c>
      <c r="I52" s="182"/>
      <c r="J52" s="109">
        <f>J53</f>
        <v>27.1</v>
      </c>
      <c r="K52" s="109">
        <f t="shared" si="7"/>
        <v>27.7775</v>
      </c>
      <c r="L52" s="109">
        <f t="shared" si="7"/>
        <v>28.455000000000002</v>
      </c>
      <c r="M52" s="159"/>
      <c r="N52" s="160"/>
    </row>
    <row r="53" spans="1:14" s="161" customFormat="1" ht="54">
      <c r="A53" s="104" t="s">
        <v>85</v>
      </c>
      <c r="B53" s="106" t="s">
        <v>118</v>
      </c>
      <c r="C53" s="106" t="s">
        <v>66</v>
      </c>
      <c r="D53" s="106" t="s">
        <v>84</v>
      </c>
      <c r="E53" s="106">
        <v>91</v>
      </c>
      <c r="F53" s="106">
        <v>4</v>
      </c>
      <c r="G53" s="106" t="s">
        <v>149</v>
      </c>
      <c r="H53" s="106" t="s">
        <v>150</v>
      </c>
      <c r="I53" s="182"/>
      <c r="J53" s="109">
        <f>J54</f>
        <v>27.1</v>
      </c>
      <c r="K53" s="109">
        <f t="shared" si="7"/>
        <v>27.7775</v>
      </c>
      <c r="L53" s="109">
        <f t="shared" si="7"/>
        <v>28.455000000000002</v>
      </c>
      <c r="M53" s="159"/>
      <c r="N53" s="160"/>
    </row>
    <row r="54" spans="1:14" s="161" customFormat="1" ht="36">
      <c r="A54" s="104" t="s">
        <v>238</v>
      </c>
      <c r="B54" s="106" t="s">
        <v>118</v>
      </c>
      <c r="C54" s="106" t="s">
        <v>66</v>
      </c>
      <c r="D54" s="106" t="s">
        <v>84</v>
      </c>
      <c r="E54" s="106" t="s">
        <v>212</v>
      </c>
      <c r="F54" s="106" t="s">
        <v>62</v>
      </c>
      <c r="G54" s="106" t="s">
        <v>149</v>
      </c>
      <c r="H54" s="106" t="s">
        <v>239</v>
      </c>
      <c r="I54" s="182"/>
      <c r="J54" s="109">
        <f>J55</f>
        <v>27.1</v>
      </c>
      <c r="K54" s="109">
        <f t="shared" si="7"/>
        <v>27.7775</v>
      </c>
      <c r="L54" s="109">
        <f t="shared" si="7"/>
        <v>28.455000000000002</v>
      </c>
      <c r="M54" s="159"/>
      <c r="N54" s="160"/>
    </row>
    <row r="55" spans="1:14" s="161" customFormat="1" ht="18">
      <c r="A55" s="104" t="s">
        <v>77</v>
      </c>
      <c r="B55" s="106" t="s">
        <v>118</v>
      </c>
      <c r="C55" s="106" t="s">
        <v>66</v>
      </c>
      <c r="D55" s="106" t="s">
        <v>84</v>
      </c>
      <c r="E55" s="106" t="s">
        <v>212</v>
      </c>
      <c r="F55" s="106" t="s">
        <v>62</v>
      </c>
      <c r="G55" s="106" t="s">
        <v>149</v>
      </c>
      <c r="H55" s="106" t="s">
        <v>239</v>
      </c>
      <c r="I55" s="182" t="s">
        <v>78</v>
      </c>
      <c r="J55" s="109">
        <f>J56</f>
        <v>27.1</v>
      </c>
      <c r="K55" s="109">
        <f t="shared" si="7"/>
        <v>27.7775</v>
      </c>
      <c r="L55" s="109">
        <f t="shared" si="7"/>
        <v>28.455000000000002</v>
      </c>
      <c r="M55" s="159"/>
      <c r="N55" s="160"/>
    </row>
    <row r="56" spans="1:14" s="161" customFormat="1" ht="18">
      <c r="A56" s="104" t="s">
        <v>79</v>
      </c>
      <c r="B56" s="106" t="s">
        <v>118</v>
      </c>
      <c r="C56" s="106" t="s">
        <v>66</v>
      </c>
      <c r="D56" s="106" t="s">
        <v>84</v>
      </c>
      <c r="E56" s="106" t="s">
        <v>212</v>
      </c>
      <c r="F56" s="106" t="s">
        <v>62</v>
      </c>
      <c r="G56" s="106" t="s">
        <v>149</v>
      </c>
      <c r="H56" s="106" t="s">
        <v>239</v>
      </c>
      <c r="I56" s="182" t="s">
        <v>80</v>
      </c>
      <c r="J56" s="109">
        <f>27.1</f>
        <v>27.1</v>
      </c>
      <c r="K56" s="109">
        <f>J56*M56</f>
        <v>27.7775</v>
      </c>
      <c r="L56" s="109">
        <f>J56*N56</f>
        <v>28.455000000000002</v>
      </c>
      <c r="M56" s="159">
        <v>1.025</v>
      </c>
      <c r="N56" s="160">
        <v>1.05</v>
      </c>
    </row>
    <row r="57" spans="1:14" s="161" customFormat="1" ht="35.25">
      <c r="A57" s="174" t="s">
        <v>119</v>
      </c>
      <c r="B57" s="158" t="s">
        <v>118</v>
      </c>
      <c r="C57" s="158" t="s">
        <v>89</v>
      </c>
      <c r="D57" s="158"/>
      <c r="E57" s="158"/>
      <c r="F57" s="158"/>
      <c r="G57" s="158"/>
      <c r="H57" s="158"/>
      <c r="I57" s="158"/>
      <c r="J57" s="114">
        <f aca="true" t="shared" si="8" ref="J57:L58">J58</f>
        <v>630</v>
      </c>
      <c r="K57" s="114">
        <f t="shared" si="8"/>
        <v>630</v>
      </c>
      <c r="L57" s="114">
        <f t="shared" si="8"/>
        <v>630</v>
      </c>
      <c r="M57" s="159"/>
      <c r="N57" s="177"/>
    </row>
    <row r="58" spans="1:14" s="161" customFormat="1" ht="52.5">
      <c r="A58" s="174" t="s">
        <v>120</v>
      </c>
      <c r="B58" s="158" t="s">
        <v>118</v>
      </c>
      <c r="C58" s="158" t="s">
        <v>89</v>
      </c>
      <c r="D58" s="158" t="s">
        <v>121</v>
      </c>
      <c r="E58" s="158"/>
      <c r="F58" s="158"/>
      <c r="G58" s="158"/>
      <c r="H58" s="158"/>
      <c r="I58" s="158"/>
      <c r="J58" s="114">
        <f t="shared" si="8"/>
        <v>630</v>
      </c>
      <c r="K58" s="114">
        <f t="shared" si="8"/>
        <v>630</v>
      </c>
      <c r="L58" s="114">
        <f t="shared" si="8"/>
        <v>630</v>
      </c>
      <c r="M58" s="159"/>
      <c r="N58" s="177"/>
    </row>
    <row r="59" spans="1:14" s="161" customFormat="1" ht="105">
      <c r="A59" s="76" t="s">
        <v>251</v>
      </c>
      <c r="B59" s="158" t="s">
        <v>118</v>
      </c>
      <c r="C59" s="158" t="s">
        <v>89</v>
      </c>
      <c r="D59" s="158" t="s">
        <v>121</v>
      </c>
      <c r="E59" s="158">
        <v>79</v>
      </c>
      <c r="F59" s="158" t="s">
        <v>148</v>
      </c>
      <c r="G59" s="158" t="s">
        <v>149</v>
      </c>
      <c r="H59" s="158" t="s">
        <v>150</v>
      </c>
      <c r="I59" s="158"/>
      <c r="J59" s="114">
        <f>J60+J65+J70</f>
        <v>630</v>
      </c>
      <c r="K59" s="114">
        <f>K60+K65+K70</f>
        <v>630</v>
      </c>
      <c r="L59" s="114">
        <f>L60+L65+L70</f>
        <v>630</v>
      </c>
      <c r="M59" s="159"/>
      <c r="N59" s="177"/>
    </row>
    <row r="60" spans="1:14" s="161" customFormat="1" ht="90">
      <c r="A60" s="79" t="s">
        <v>252</v>
      </c>
      <c r="B60" s="106" t="s">
        <v>118</v>
      </c>
      <c r="C60" s="106" t="s">
        <v>89</v>
      </c>
      <c r="D60" s="106" t="s">
        <v>121</v>
      </c>
      <c r="E60" s="106" t="s">
        <v>173</v>
      </c>
      <c r="F60" s="106" t="s">
        <v>157</v>
      </c>
      <c r="G60" s="106" t="s">
        <v>149</v>
      </c>
      <c r="H60" s="106" t="s">
        <v>150</v>
      </c>
      <c r="I60" s="106"/>
      <c r="J60" s="109">
        <f>J61</f>
        <v>100</v>
      </c>
      <c r="K60" s="109">
        <f aca="true" t="shared" si="9" ref="K60:L63">K61</f>
        <v>100</v>
      </c>
      <c r="L60" s="109">
        <f t="shared" si="9"/>
        <v>100</v>
      </c>
      <c r="M60" s="159"/>
      <c r="N60" s="177"/>
    </row>
    <row r="61" spans="1:14" s="161" customFormat="1" ht="54">
      <c r="A61" s="183" t="s">
        <v>174</v>
      </c>
      <c r="B61" s="106" t="s">
        <v>118</v>
      </c>
      <c r="C61" s="106" t="s">
        <v>89</v>
      </c>
      <c r="D61" s="106" t="s">
        <v>121</v>
      </c>
      <c r="E61" s="106" t="s">
        <v>173</v>
      </c>
      <c r="F61" s="106" t="s">
        <v>157</v>
      </c>
      <c r="G61" s="106" t="s">
        <v>89</v>
      </c>
      <c r="H61" s="184" t="s">
        <v>150</v>
      </c>
      <c r="I61" s="106"/>
      <c r="J61" s="109">
        <f>J62</f>
        <v>100</v>
      </c>
      <c r="K61" s="109">
        <f t="shared" si="9"/>
        <v>100</v>
      </c>
      <c r="L61" s="109">
        <f t="shared" si="9"/>
        <v>100</v>
      </c>
      <c r="M61" s="159"/>
      <c r="N61" s="177"/>
    </row>
    <row r="62" spans="1:14" s="161" customFormat="1" ht="36">
      <c r="A62" s="183" t="s">
        <v>253</v>
      </c>
      <c r="B62" s="106" t="s">
        <v>118</v>
      </c>
      <c r="C62" s="106" t="s">
        <v>89</v>
      </c>
      <c r="D62" s="106" t="s">
        <v>121</v>
      </c>
      <c r="E62" s="106" t="s">
        <v>173</v>
      </c>
      <c r="F62" s="106" t="s">
        <v>157</v>
      </c>
      <c r="G62" s="106" t="s">
        <v>89</v>
      </c>
      <c r="H62" s="184" t="s">
        <v>254</v>
      </c>
      <c r="I62" s="106"/>
      <c r="J62" s="109">
        <f>J63</f>
        <v>100</v>
      </c>
      <c r="K62" s="109">
        <f t="shared" si="9"/>
        <v>100</v>
      </c>
      <c r="L62" s="109">
        <f t="shared" si="9"/>
        <v>100</v>
      </c>
      <c r="M62" s="159"/>
      <c r="N62" s="177"/>
    </row>
    <row r="63" spans="1:14" s="161" customFormat="1" ht="54">
      <c r="A63" s="104" t="s">
        <v>153</v>
      </c>
      <c r="B63" s="106" t="s">
        <v>118</v>
      </c>
      <c r="C63" s="106" t="s">
        <v>89</v>
      </c>
      <c r="D63" s="106" t="s">
        <v>121</v>
      </c>
      <c r="E63" s="106" t="s">
        <v>173</v>
      </c>
      <c r="F63" s="106" t="s">
        <v>157</v>
      </c>
      <c r="G63" s="106" t="s">
        <v>89</v>
      </c>
      <c r="H63" s="184" t="s">
        <v>254</v>
      </c>
      <c r="I63" s="108">
        <v>200</v>
      </c>
      <c r="J63" s="109">
        <f>J64</f>
        <v>100</v>
      </c>
      <c r="K63" s="109">
        <f t="shared" si="9"/>
        <v>100</v>
      </c>
      <c r="L63" s="109">
        <f t="shared" si="9"/>
        <v>100</v>
      </c>
      <c r="M63" s="159"/>
      <c r="N63" s="177"/>
    </row>
    <row r="64" spans="1:14" s="161" customFormat="1" ht="54">
      <c r="A64" s="104" t="s">
        <v>75</v>
      </c>
      <c r="B64" s="106" t="s">
        <v>118</v>
      </c>
      <c r="C64" s="106" t="s">
        <v>89</v>
      </c>
      <c r="D64" s="106" t="s">
        <v>121</v>
      </c>
      <c r="E64" s="106" t="s">
        <v>173</v>
      </c>
      <c r="F64" s="106" t="s">
        <v>157</v>
      </c>
      <c r="G64" s="106" t="s">
        <v>89</v>
      </c>
      <c r="H64" s="184" t="s">
        <v>254</v>
      </c>
      <c r="I64" s="108">
        <v>240</v>
      </c>
      <c r="J64" s="109">
        <f>100</f>
        <v>100</v>
      </c>
      <c r="K64" s="109">
        <f>100</f>
        <v>100</v>
      </c>
      <c r="L64" s="109">
        <f>100</f>
        <v>100</v>
      </c>
      <c r="M64" s="159" t="s">
        <v>287</v>
      </c>
      <c r="N64" s="177" t="s">
        <v>287</v>
      </c>
    </row>
    <row r="65" spans="1:14" s="161" customFormat="1" ht="108">
      <c r="A65" s="79" t="s">
        <v>240</v>
      </c>
      <c r="B65" s="106" t="s">
        <v>118</v>
      </c>
      <c r="C65" s="106" t="s">
        <v>89</v>
      </c>
      <c r="D65" s="106" t="s">
        <v>121</v>
      </c>
      <c r="E65" s="106" t="s">
        <v>173</v>
      </c>
      <c r="F65" s="106" t="s">
        <v>163</v>
      </c>
      <c r="G65" s="106" t="s">
        <v>149</v>
      </c>
      <c r="H65" s="106" t="s">
        <v>150</v>
      </c>
      <c r="I65" s="106"/>
      <c r="J65" s="109">
        <f>J66</f>
        <v>520</v>
      </c>
      <c r="K65" s="109">
        <f aca="true" t="shared" si="10" ref="K65:L68">K66</f>
        <v>520</v>
      </c>
      <c r="L65" s="109">
        <f t="shared" si="10"/>
        <v>520</v>
      </c>
      <c r="M65" s="159"/>
      <c r="N65" s="177"/>
    </row>
    <row r="66" spans="1:14" s="161" customFormat="1" ht="72">
      <c r="A66" s="183" t="s">
        <v>175</v>
      </c>
      <c r="B66" s="106" t="s">
        <v>118</v>
      </c>
      <c r="C66" s="106" t="s">
        <v>89</v>
      </c>
      <c r="D66" s="106" t="s">
        <v>121</v>
      </c>
      <c r="E66" s="106" t="s">
        <v>173</v>
      </c>
      <c r="F66" s="106" t="s">
        <v>163</v>
      </c>
      <c r="G66" s="106" t="s">
        <v>66</v>
      </c>
      <c r="H66" s="184" t="s">
        <v>150</v>
      </c>
      <c r="I66" s="106"/>
      <c r="J66" s="109">
        <f>J67</f>
        <v>520</v>
      </c>
      <c r="K66" s="109">
        <f t="shared" si="10"/>
        <v>520</v>
      </c>
      <c r="L66" s="109">
        <f t="shared" si="10"/>
        <v>520</v>
      </c>
      <c r="M66" s="159"/>
      <c r="N66" s="177"/>
    </row>
    <row r="67" spans="1:14" s="161" customFormat="1" ht="72">
      <c r="A67" s="183" t="s">
        <v>255</v>
      </c>
      <c r="B67" s="106" t="s">
        <v>118</v>
      </c>
      <c r="C67" s="106" t="s">
        <v>89</v>
      </c>
      <c r="D67" s="106" t="s">
        <v>121</v>
      </c>
      <c r="E67" s="106" t="s">
        <v>173</v>
      </c>
      <c r="F67" s="106" t="s">
        <v>163</v>
      </c>
      <c r="G67" s="106" t="s">
        <v>66</v>
      </c>
      <c r="H67" s="184" t="s">
        <v>241</v>
      </c>
      <c r="I67" s="106"/>
      <c r="J67" s="109">
        <f>J68</f>
        <v>520</v>
      </c>
      <c r="K67" s="109">
        <f t="shared" si="10"/>
        <v>520</v>
      </c>
      <c r="L67" s="109">
        <f t="shared" si="10"/>
        <v>520</v>
      </c>
      <c r="M67" s="159"/>
      <c r="N67" s="177"/>
    </row>
    <row r="68" spans="1:14" s="161" customFormat="1" ht="54">
      <c r="A68" s="104" t="s">
        <v>153</v>
      </c>
      <c r="B68" s="106" t="s">
        <v>118</v>
      </c>
      <c r="C68" s="106" t="s">
        <v>89</v>
      </c>
      <c r="D68" s="106" t="s">
        <v>121</v>
      </c>
      <c r="E68" s="106" t="s">
        <v>173</v>
      </c>
      <c r="F68" s="106" t="s">
        <v>163</v>
      </c>
      <c r="G68" s="106" t="s">
        <v>66</v>
      </c>
      <c r="H68" s="184" t="s">
        <v>241</v>
      </c>
      <c r="I68" s="108">
        <v>200</v>
      </c>
      <c r="J68" s="109">
        <f>J69</f>
        <v>520</v>
      </c>
      <c r="K68" s="109">
        <f t="shared" si="10"/>
        <v>520</v>
      </c>
      <c r="L68" s="109">
        <f t="shared" si="10"/>
        <v>520</v>
      </c>
      <c r="M68" s="159"/>
      <c r="N68" s="177"/>
    </row>
    <row r="69" spans="1:14" s="161" customFormat="1" ht="54">
      <c r="A69" s="104" t="s">
        <v>75</v>
      </c>
      <c r="B69" s="106" t="s">
        <v>118</v>
      </c>
      <c r="C69" s="106" t="s">
        <v>89</v>
      </c>
      <c r="D69" s="106" t="s">
        <v>121</v>
      </c>
      <c r="E69" s="106" t="s">
        <v>173</v>
      </c>
      <c r="F69" s="106" t="s">
        <v>163</v>
      </c>
      <c r="G69" s="106" t="s">
        <v>66</v>
      </c>
      <c r="H69" s="184" t="s">
        <v>241</v>
      </c>
      <c r="I69" s="108">
        <v>240</v>
      </c>
      <c r="J69" s="109">
        <f>520</f>
        <v>520</v>
      </c>
      <c r="K69" s="109">
        <f>520</f>
        <v>520</v>
      </c>
      <c r="L69" s="109">
        <f>520</f>
        <v>520</v>
      </c>
      <c r="M69" s="159" t="s">
        <v>287</v>
      </c>
      <c r="N69" s="177" t="s">
        <v>287</v>
      </c>
    </row>
    <row r="70" spans="1:14" s="161" customFormat="1" ht="126">
      <c r="A70" s="79" t="s">
        <v>256</v>
      </c>
      <c r="B70" s="106" t="s">
        <v>118</v>
      </c>
      <c r="C70" s="106" t="s">
        <v>89</v>
      </c>
      <c r="D70" s="106" t="s">
        <v>121</v>
      </c>
      <c r="E70" s="106" t="s">
        <v>173</v>
      </c>
      <c r="F70" s="106" t="s">
        <v>61</v>
      </c>
      <c r="G70" s="106" t="s">
        <v>149</v>
      </c>
      <c r="H70" s="106" t="s">
        <v>150</v>
      </c>
      <c r="I70" s="106"/>
      <c r="J70" s="109">
        <f>J71</f>
        <v>10</v>
      </c>
      <c r="K70" s="109">
        <f>K71</f>
        <v>10</v>
      </c>
      <c r="L70" s="109">
        <f>L71</f>
        <v>10</v>
      </c>
      <c r="M70" s="159"/>
      <c r="N70" s="177"/>
    </row>
    <row r="71" spans="1:14" s="161" customFormat="1" ht="54">
      <c r="A71" s="183" t="s">
        <v>176</v>
      </c>
      <c r="B71" s="106" t="s">
        <v>118</v>
      </c>
      <c r="C71" s="106" t="s">
        <v>89</v>
      </c>
      <c r="D71" s="106" t="s">
        <v>121</v>
      </c>
      <c r="E71" s="106" t="s">
        <v>173</v>
      </c>
      <c r="F71" s="106" t="s">
        <v>61</v>
      </c>
      <c r="G71" s="106" t="s">
        <v>88</v>
      </c>
      <c r="H71" s="184" t="s">
        <v>150</v>
      </c>
      <c r="I71" s="106"/>
      <c r="J71" s="109">
        <f>J72+J75</f>
        <v>10</v>
      </c>
      <c r="K71" s="109">
        <f>K72+K75</f>
        <v>10</v>
      </c>
      <c r="L71" s="109">
        <f>L72+L75</f>
        <v>10</v>
      </c>
      <c r="M71" s="159"/>
      <c r="N71" s="177"/>
    </row>
    <row r="72" spans="1:14" s="161" customFormat="1" ht="72">
      <c r="A72" s="183" t="s">
        <v>257</v>
      </c>
      <c r="B72" s="106" t="s">
        <v>118</v>
      </c>
      <c r="C72" s="106" t="s">
        <v>89</v>
      </c>
      <c r="D72" s="106" t="s">
        <v>121</v>
      </c>
      <c r="E72" s="106" t="s">
        <v>173</v>
      </c>
      <c r="F72" s="106" t="s">
        <v>61</v>
      </c>
      <c r="G72" s="106" t="s">
        <v>88</v>
      </c>
      <c r="H72" s="184" t="s">
        <v>258</v>
      </c>
      <c r="I72" s="106"/>
      <c r="J72" s="109">
        <f aca="true" t="shared" si="11" ref="J72:L73">J73</f>
        <v>5</v>
      </c>
      <c r="K72" s="109">
        <f t="shared" si="11"/>
        <v>5</v>
      </c>
      <c r="L72" s="109">
        <f t="shared" si="11"/>
        <v>5</v>
      </c>
      <c r="M72" s="159"/>
      <c r="N72" s="177"/>
    </row>
    <row r="73" spans="1:14" s="161" customFormat="1" ht="54">
      <c r="A73" s="104" t="s">
        <v>153</v>
      </c>
      <c r="B73" s="106" t="s">
        <v>118</v>
      </c>
      <c r="C73" s="106" t="s">
        <v>89</v>
      </c>
      <c r="D73" s="106" t="s">
        <v>121</v>
      </c>
      <c r="E73" s="106" t="s">
        <v>173</v>
      </c>
      <c r="F73" s="106" t="s">
        <v>61</v>
      </c>
      <c r="G73" s="106" t="s">
        <v>88</v>
      </c>
      <c r="H73" s="184" t="s">
        <v>258</v>
      </c>
      <c r="I73" s="108">
        <v>200</v>
      </c>
      <c r="J73" s="109">
        <f t="shared" si="11"/>
        <v>5</v>
      </c>
      <c r="K73" s="109">
        <f t="shared" si="11"/>
        <v>5</v>
      </c>
      <c r="L73" s="109">
        <f t="shared" si="11"/>
        <v>5</v>
      </c>
      <c r="M73" s="159"/>
      <c r="N73" s="177"/>
    </row>
    <row r="74" spans="1:14" s="161" customFormat="1" ht="54">
      <c r="A74" s="104" t="s">
        <v>75</v>
      </c>
      <c r="B74" s="106" t="s">
        <v>118</v>
      </c>
      <c r="C74" s="106" t="s">
        <v>89</v>
      </c>
      <c r="D74" s="106" t="s">
        <v>121</v>
      </c>
      <c r="E74" s="106" t="s">
        <v>173</v>
      </c>
      <c r="F74" s="106" t="s">
        <v>61</v>
      </c>
      <c r="G74" s="106" t="s">
        <v>88</v>
      </c>
      <c r="H74" s="184" t="s">
        <v>258</v>
      </c>
      <c r="I74" s="108">
        <v>240</v>
      </c>
      <c r="J74" s="109">
        <f>5</f>
        <v>5</v>
      </c>
      <c r="K74" s="109">
        <f>5</f>
        <v>5</v>
      </c>
      <c r="L74" s="109">
        <f>5</f>
        <v>5</v>
      </c>
      <c r="M74" s="159" t="s">
        <v>287</v>
      </c>
      <c r="N74" s="177" t="s">
        <v>287</v>
      </c>
    </row>
    <row r="75" spans="1:14" s="161" customFormat="1" ht="54">
      <c r="A75" s="183" t="s">
        <v>259</v>
      </c>
      <c r="B75" s="106" t="s">
        <v>118</v>
      </c>
      <c r="C75" s="106" t="s">
        <v>89</v>
      </c>
      <c r="D75" s="106" t="s">
        <v>121</v>
      </c>
      <c r="E75" s="106" t="s">
        <v>173</v>
      </c>
      <c r="F75" s="106" t="s">
        <v>61</v>
      </c>
      <c r="G75" s="106" t="s">
        <v>88</v>
      </c>
      <c r="H75" s="184" t="s">
        <v>260</v>
      </c>
      <c r="I75" s="106"/>
      <c r="J75" s="109">
        <f aca="true" t="shared" si="12" ref="J75:L76">J76</f>
        <v>5</v>
      </c>
      <c r="K75" s="109">
        <f t="shared" si="12"/>
        <v>5</v>
      </c>
      <c r="L75" s="109">
        <f t="shared" si="12"/>
        <v>5</v>
      </c>
      <c r="M75" s="159"/>
      <c r="N75" s="177"/>
    </row>
    <row r="76" spans="1:14" s="161" customFormat="1" ht="54">
      <c r="A76" s="104" t="s">
        <v>153</v>
      </c>
      <c r="B76" s="106" t="s">
        <v>118</v>
      </c>
      <c r="C76" s="106" t="s">
        <v>89</v>
      </c>
      <c r="D76" s="106" t="s">
        <v>121</v>
      </c>
      <c r="E76" s="106" t="s">
        <v>173</v>
      </c>
      <c r="F76" s="106" t="s">
        <v>61</v>
      </c>
      <c r="G76" s="106" t="s">
        <v>88</v>
      </c>
      <c r="H76" s="184" t="s">
        <v>260</v>
      </c>
      <c r="I76" s="108">
        <v>200</v>
      </c>
      <c r="J76" s="109">
        <f t="shared" si="12"/>
        <v>5</v>
      </c>
      <c r="K76" s="109">
        <f t="shared" si="12"/>
        <v>5</v>
      </c>
      <c r="L76" s="109">
        <f t="shared" si="12"/>
        <v>5</v>
      </c>
      <c r="M76" s="159"/>
      <c r="N76" s="177"/>
    </row>
    <row r="77" spans="1:14" s="161" customFormat="1" ht="54">
      <c r="A77" s="104" t="s">
        <v>75</v>
      </c>
      <c r="B77" s="106" t="s">
        <v>118</v>
      </c>
      <c r="C77" s="106" t="s">
        <v>89</v>
      </c>
      <c r="D77" s="106" t="s">
        <v>121</v>
      </c>
      <c r="E77" s="106" t="s">
        <v>173</v>
      </c>
      <c r="F77" s="106" t="s">
        <v>61</v>
      </c>
      <c r="G77" s="106" t="s">
        <v>88</v>
      </c>
      <c r="H77" s="184" t="s">
        <v>260</v>
      </c>
      <c r="I77" s="108">
        <v>240</v>
      </c>
      <c r="J77" s="109">
        <f>5</f>
        <v>5</v>
      </c>
      <c r="K77" s="109">
        <f>5</f>
        <v>5</v>
      </c>
      <c r="L77" s="109">
        <f>5</f>
        <v>5</v>
      </c>
      <c r="M77" s="159" t="s">
        <v>287</v>
      </c>
      <c r="N77" s="177" t="s">
        <v>287</v>
      </c>
    </row>
    <row r="78" spans="1:14" s="161" customFormat="1" ht="18">
      <c r="A78" s="174" t="s">
        <v>122</v>
      </c>
      <c r="B78" s="158" t="s">
        <v>118</v>
      </c>
      <c r="C78" s="158" t="s">
        <v>67</v>
      </c>
      <c r="D78" s="158"/>
      <c r="E78" s="113"/>
      <c r="F78" s="113"/>
      <c r="G78" s="113"/>
      <c r="H78" s="113"/>
      <c r="I78" s="113"/>
      <c r="J78" s="114">
        <f aca="true" t="shared" si="13" ref="J78:J85">J79</f>
        <v>6667.3</v>
      </c>
      <c r="K78" s="114">
        <f aca="true" t="shared" si="14" ref="K78:K85">K79</f>
        <v>8324.665</v>
      </c>
      <c r="L78" s="114">
        <f aca="true" t="shared" si="15" ref="L78:L85">L79</f>
        <v>9516.93</v>
      </c>
      <c r="N78" s="177"/>
    </row>
    <row r="79" spans="1:12" s="161" customFormat="1" ht="18">
      <c r="A79" s="174" t="s">
        <v>91</v>
      </c>
      <c r="B79" s="158" t="s">
        <v>118</v>
      </c>
      <c r="C79" s="158" t="s">
        <v>67</v>
      </c>
      <c r="D79" s="158" t="s">
        <v>90</v>
      </c>
      <c r="E79" s="158"/>
      <c r="F79" s="158"/>
      <c r="G79" s="158"/>
      <c r="H79" s="158"/>
      <c r="I79" s="158"/>
      <c r="J79" s="114">
        <f t="shared" si="13"/>
        <v>6667.3</v>
      </c>
      <c r="K79" s="114">
        <f t="shared" si="14"/>
        <v>8324.665</v>
      </c>
      <c r="L79" s="114">
        <f t="shared" si="15"/>
        <v>9516.93</v>
      </c>
    </row>
    <row r="80" spans="1:14" s="161" customFormat="1" ht="69.75">
      <c r="A80" s="185" t="s">
        <v>261</v>
      </c>
      <c r="B80" s="158" t="s">
        <v>118</v>
      </c>
      <c r="C80" s="158" t="s">
        <v>67</v>
      </c>
      <c r="D80" s="158" t="s">
        <v>90</v>
      </c>
      <c r="E80" s="186" t="s">
        <v>177</v>
      </c>
      <c r="F80" s="186" t="s">
        <v>148</v>
      </c>
      <c r="G80" s="186" t="s">
        <v>149</v>
      </c>
      <c r="H80" s="186" t="s">
        <v>150</v>
      </c>
      <c r="I80" s="113"/>
      <c r="J80" s="114">
        <f t="shared" si="13"/>
        <v>6667.3</v>
      </c>
      <c r="K80" s="114">
        <f t="shared" si="14"/>
        <v>8324.665</v>
      </c>
      <c r="L80" s="114">
        <f t="shared" si="15"/>
        <v>9516.93</v>
      </c>
      <c r="M80" s="187"/>
      <c r="N80" s="187"/>
    </row>
    <row r="81" spans="1:14" s="161" customFormat="1" ht="72">
      <c r="A81" s="183" t="s">
        <v>123</v>
      </c>
      <c r="B81" s="106" t="s">
        <v>118</v>
      </c>
      <c r="C81" s="106" t="s">
        <v>67</v>
      </c>
      <c r="D81" s="106" t="s">
        <v>90</v>
      </c>
      <c r="E81" s="184" t="s">
        <v>177</v>
      </c>
      <c r="F81" s="184" t="s">
        <v>61</v>
      </c>
      <c r="G81" s="184" t="s">
        <v>149</v>
      </c>
      <c r="H81" s="184" t="s">
        <v>150</v>
      </c>
      <c r="I81" s="182"/>
      <c r="J81" s="109">
        <f t="shared" si="13"/>
        <v>6667.3</v>
      </c>
      <c r="K81" s="109">
        <f t="shared" si="14"/>
        <v>8324.665</v>
      </c>
      <c r="L81" s="109">
        <f t="shared" si="15"/>
        <v>9516.93</v>
      </c>
      <c r="M81" s="187"/>
      <c r="N81" s="187"/>
    </row>
    <row r="82" spans="1:14" s="161" customFormat="1" ht="54">
      <c r="A82" s="79" t="s">
        <v>262</v>
      </c>
      <c r="B82" s="106" t="s">
        <v>118</v>
      </c>
      <c r="C82" s="106" t="s">
        <v>67</v>
      </c>
      <c r="D82" s="106" t="s">
        <v>90</v>
      </c>
      <c r="E82" s="184" t="s">
        <v>177</v>
      </c>
      <c r="F82" s="184" t="s">
        <v>61</v>
      </c>
      <c r="G82" s="184" t="s">
        <v>66</v>
      </c>
      <c r="H82" s="184" t="s">
        <v>150</v>
      </c>
      <c r="I82" s="182"/>
      <c r="J82" s="109">
        <f t="shared" si="13"/>
        <v>6667.3</v>
      </c>
      <c r="K82" s="109">
        <f t="shared" si="14"/>
        <v>8324.665</v>
      </c>
      <c r="L82" s="109">
        <f t="shared" si="15"/>
        <v>9516.93</v>
      </c>
      <c r="M82" s="187"/>
      <c r="N82" s="187"/>
    </row>
    <row r="83" spans="1:14" s="161" customFormat="1" ht="54">
      <c r="A83" s="183" t="s">
        <v>178</v>
      </c>
      <c r="B83" s="106" t="s">
        <v>118</v>
      </c>
      <c r="C83" s="106" t="s">
        <v>67</v>
      </c>
      <c r="D83" s="106" t="s">
        <v>90</v>
      </c>
      <c r="E83" s="184" t="s">
        <v>177</v>
      </c>
      <c r="F83" s="184" t="s">
        <v>61</v>
      </c>
      <c r="G83" s="184" t="s">
        <v>66</v>
      </c>
      <c r="H83" s="184" t="s">
        <v>179</v>
      </c>
      <c r="I83" s="182"/>
      <c r="J83" s="109">
        <f t="shared" si="13"/>
        <v>6667.3</v>
      </c>
      <c r="K83" s="109">
        <f t="shared" si="14"/>
        <v>8324.665</v>
      </c>
      <c r="L83" s="109">
        <f t="shared" si="15"/>
        <v>9516.93</v>
      </c>
      <c r="M83" s="187"/>
      <c r="N83" s="187"/>
    </row>
    <row r="84" spans="1:14" s="161" customFormat="1" ht="72">
      <c r="A84" s="183" t="s">
        <v>180</v>
      </c>
      <c r="B84" s="106" t="s">
        <v>118</v>
      </c>
      <c r="C84" s="106" t="s">
        <v>67</v>
      </c>
      <c r="D84" s="106" t="s">
        <v>90</v>
      </c>
      <c r="E84" s="184" t="s">
        <v>177</v>
      </c>
      <c r="F84" s="184" t="s">
        <v>61</v>
      </c>
      <c r="G84" s="184" t="s">
        <v>66</v>
      </c>
      <c r="H84" s="184" t="s">
        <v>181</v>
      </c>
      <c r="I84" s="182"/>
      <c r="J84" s="109">
        <f t="shared" si="13"/>
        <v>6667.3</v>
      </c>
      <c r="K84" s="109">
        <f t="shared" si="14"/>
        <v>8324.665</v>
      </c>
      <c r="L84" s="109">
        <f t="shared" si="15"/>
        <v>9516.93</v>
      </c>
      <c r="M84" s="187"/>
      <c r="N84" s="187"/>
    </row>
    <row r="85" spans="1:14" s="161" customFormat="1" ht="54">
      <c r="A85" s="104" t="s">
        <v>153</v>
      </c>
      <c r="B85" s="106" t="s">
        <v>118</v>
      </c>
      <c r="C85" s="106" t="s">
        <v>67</v>
      </c>
      <c r="D85" s="106" t="s">
        <v>90</v>
      </c>
      <c r="E85" s="184" t="s">
        <v>177</v>
      </c>
      <c r="F85" s="184" t="s">
        <v>61</v>
      </c>
      <c r="G85" s="184" t="s">
        <v>66</v>
      </c>
      <c r="H85" s="184" t="s">
        <v>181</v>
      </c>
      <c r="I85" s="182" t="s">
        <v>74</v>
      </c>
      <c r="J85" s="109">
        <f t="shared" si="13"/>
        <v>6667.3</v>
      </c>
      <c r="K85" s="109">
        <f t="shared" si="14"/>
        <v>8324.665</v>
      </c>
      <c r="L85" s="109">
        <f t="shared" si="15"/>
        <v>9516.93</v>
      </c>
      <c r="M85" s="187"/>
      <c r="N85" s="187"/>
    </row>
    <row r="86" spans="1:16" s="161" customFormat="1" ht="54">
      <c r="A86" s="104" t="s">
        <v>75</v>
      </c>
      <c r="B86" s="106" t="s">
        <v>118</v>
      </c>
      <c r="C86" s="106" t="s">
        <v>67</v>
      </c>
      <c r="D86" s="106" t="s">
        <v>90</v>
      </c>
      <c r="E86" s="184" t="s">
        <v>177</v>
      </c>
      <c r="F86" s="184" t="s">
        <v>61</v>
      </c>
      <c r="G86" s="184" t="s">
        <v>66</v>
      </c>
      <c r="H86" s="184" t="s">
        <v>181</v>
      </c>
      <c r="I86" s="182" t="s">
        <v>76</v>
      </c>
      <c r="J86" s="109">
        <f>5300+1367.3</f>
        <v>6667.3</v>
      </c>
      <c r="K86" s="109">
        <f>(J86*M86)+1324</f>
        <v>8324.665</v>
      </c>
      <c r="L86" s="109">
        <f>(J86*N86)+2182.9</f>
        <v>9516.93</v>
      </c>
      <c r="M86" s="160">
        <v>1.05</v>
      </c>
      <c r="N86" s="160">
        <v>1.1</v>
      </c>
      <c r="O86" s="177" t="s">
        <v>290</v>
      </c>
      <c r="P86" s="177" t="s">
        <v>291</v>
      </c>
    </row>
    <row r="87" spans="1:12" s="161" customFormat="1" ht="18">
      <c r="A87" s="162" t="s">
        <v>92</v>
      </c>
      <c r="B87" s="188" t="s">
        <v>118</v>
      </c>
      <c r="C87" s="158" t="s">
        <v>93</v>
      </c>
      <c r="D87" s="158"/>
      <c r="E87" s="112"/>
      <c r="F87" s="112"/>
      <c r="G87" s="112"/>
      <c r="H87" s="112"/>
      <c r="I87" s="158"/>
      <c r="J87" s="114">
        <f>J88</f>
        <v>24350</v>
      </c>
      <c r="K87" s="114">
        <f>K88</f>
        <v>24415</v>
      </c>
      <c r="L87" s="114">
        <f>L88</f>
        <v>24980</v>
      </c>
    </row>
    <row r="88" spans="1:12" s="161" customFormat="1" ht="18">
      <c r="A88" s="162" t="s">
        <v>94</v>
      </c>
      <c r="B88" s="158" t="s">
        <v>118</v>
      </c>
      <c r="C88" s="158" t="s">
        <v>93</v>
      </c>
      <c r="D88" s="158" t="s">
        <v>89</v>
      </c>
      <c r="E88" s="158"/>
      <c r="F88" s="158"/>
      <c r="G88" s="158"/>
      <c r="H88" s="158"/>
      <c r="I88" s="158"/>
      <c r="J88" s="114">
        <f>J89+J125</f>
        <v>24350</v>
      </c>
      <c r="K88" s="114">
        <f>K89+K125</f>
        <v>24415</v>
      </c>
      <c r="L88" s="114">
        <f>L89+L125</f>
        <v>24980</v>
      </c>
    </row>
    <row r="89" spans="1:12" s="161" customFormat="1" ht="69.75">
      <c r="A89" s="174" t="s">
        <v>263</v>
      </c>
      <c r="B89" s="158" t="s">
        <v>118</v>
      </c>
      <c r="C89" s="158" t="s">
        <v>124</v>
      </c>
      <c r="D89" s="158" t="s">
        <v>89</v>
      </c>
      <c r="E89" s="158">
        <v>80</v>
      </c>
      <c r="F89" s="158" t="s">
        <v>148</v>
      </c>
      <c r="G89" s="158" t="s">
        <v>149</v>
      </c>
      <c r="H89" s="158" t="s">
        <v>150</v>
      </c>
      <c r="I89" s="158"/>
      <c r="J89" s="114">
        <f>J90+J102+J106+J110+J121+J114</f>
        <v>1750</v>
      </c>
      <c r="K89" s="114">
        <f>K90+K102+K106+K110+K121+K114</f>
        <v>750</v>
      </c>
      <c r="L89" s="114">
        <f>L90+L102+L106+L110+L121+L114</f>
        <v>750</v>
      </c>
    </row>
    <row r="90" spans="1:12" s="161" customFormat="1" ht="36">
      <c r="A90" s="189" t="s">
        <v>182</v>
      </c>
      <c r="B90" s="106" t="s">
        <v>118</v>
      </c>
      <c r="C90" s="106" t="s">
        <v>93</v>
      </c>
      <c r="D90" s="106" t="s">
        <v>89</v>
      </c>
      <c r="E90" s="190" t="s">
        <v>183</v>
      </c>
      <c r="F90" s="190" t="s">
        <v>148</v>
      </c>
      <c r="G90" s="190" t="s">
        <v>66</v>
      </c>
      <c r="H90" s="190" t="s">
        <v>150</v>
      </c>
      <c r="I90" s="106"/>
      <c r="J90" s="109">
        <f>J91+J94+J97</f>
        <v>400</v>
      </c>
      <c r="K90" s="109">
        <f>K91+K94+K97</f>
        <v>400</v>
      </c>
      <c r="L90" s="109">
        <f>L91+L94+L97</f>
        <v>400</v>
      </c>
    </row>
    <row r="91" spans="1:12" s="161" customFormat="1" ht="18">
      <c r="A91" s="189" t="s">
        <v>184</v>
      </c>
      <c r="B91" s="106" t="s">
        <v>118</v>
      </c>
      <c r="C91" s="106" t="s">
        <v>93</v>
      </c>
      <c r="D91" s="106" t="s">
        <v>89</v>
      </c>
      <c r="E91" s="190" t="s">
        <v>183</v>
      </c>
      <c r="F91" s="190" t="s">
        <v>148</v>
      </c>
      <c r="G91" s="190" t="s">
        <v>66</v>
      </c>
      <c r="H91" s="191" t="s">
        <v>185</v>
      </c>
      <c r="I91" s="106"/>
      <c r="J91" s="109">
        <f aca="true" t="shared" si="16" ref="J91:L92">J92</f>
        <v>100</v>
      </c>
      <c r="K91" s="109">
        <f t="shared" si="16"/>
        <v>100</v>
      </c>
      <c r="L91" s="109">
        <f t="shared" si="16"/>
        <v>100</v>
      </c>
    </row>
    <row r="92" spans="1:12" s="161" customFormat="1" ht="54">
      <c r="A92" s="104" t="s">
        <v>153</v>
      </c>
      <c r="B92" s="106" t="s">
        <v>118</v>
      </c>
      <c r="C92" s="106" t="s">
        <v>93</v>
      </c>
      <c r="D92" s="106" t="s">
        <v>89</v>
      </c>
      <c r="E92" s="190" t="s">
        <v>183</v>
      </c>
      <c r="F92" s="190" t="s">
        <v>148</v>
      </c>
      <c r="G92" s="190" t="s">
        <v>66</v>
      </c>
      <c r="H92" s="191" t="s">
        <v>185</v>
      </c>
      <c r="I92" s="106" t="s">
        <v>74</v>
      </c>
      <c r="J92" s="109">
        <f t="shared" si="16"/>
        <v>100</v>
      </c>
      <c r="K92" s="109">
        <f t="shared" si="16"/>
        <v>100</v>
      </c>
      <c r="L92" s="109">
        <f t="shared" si="16"/>
        <v>100</v>
      </c>
    </row>
    <row r="93" spans="1:14" s="161" customFormat="1" ht="54">
      <c r="A93" s="104" t="s">
        <v>75</v>
      </c>
      <c r="B93" s="106" t="s">
        <v>118</v>
      </c>
      <c r="C93" s="106" t="s">
        <v>93</v>
      </c>
      <c r="D93" s="106" t="s">
        <v>89</v>
      </c>
      <c r="E93" s="190" t="s">
        <v>183</v>
      </c>
      <c r="F93" s="190" t="s">
        <v>148</v>
      </c>
      <c r="G93" s="190" t="s">
        <v>66</v>
      </c>
      <c r="H93" s="191" t="s">
        <v>185</v>
      </c>
      <c r="I93" s="106" t="s">
        <v>76</v>
      </c>
      <c r="J93" s="109">
        <f>100</f>
        <v>100</v>
      </c>
      <c r="K93" s="109">
        <f>100</f>
        <v>100</v>
      </c>
      <c r="L93" s="109">
        <f>100</f>
        <v>100</v>
      </c>
      <c r="M93" s="159" t="s">
        <v>287</v>
      </c>
      <c r="N93" s="177" t="s">
        <v>287</v>
      </c>
    </row>
    <row r="94" spans="1:12" s="161" customFormat="1" ht="36">
      <c r="A94" s="189" t="s">
        <v>186</v>
      </c>
      <c r="B94" s="106" t="s">
        <v>118</v>
      </c>
      <c r="C94" s="106" t="s">
        <v>93</v>
      </c>
      <c r="D94" s="106" t="s">
        <v>89</v>
      </c>
      <c r="E94" s="190" t="s">
        <v>183</v>
      </c>
      <c r="F94" s="190" t="s">
        <v>148</v>
      </c>
      <c r="G94" s="190" t="s">
        <v>66</v>
      </c>
      <c r="H94" s="190" t="s">
        <v>187</v>
      </c>
      <c r="I94" s="106"/>
      <c r="J94" s="109">
        <f aca="true" t="shared" si="17" ref="J94:L95">J95</f>
        <v>200</v>
      </c>
      <c r="K94" s="109">
        <f t="shared" si="17"/>
        <v>200</v>
      </c>
      <c r="L94" s="109">
        <f t="shared" si="17"/>
        <v>200</v>
      </c>
    </row>
    <row r="95" spans="1:12" s="161" customFormat="1" ht="54">
      <c r="A95" s="104" t="s">
        <v>153</v>
      </c>
      <c r="B95" s="106" t="s">
        <v>118</v>
      </c>
      <c r="C95" s="106" t="s">
        <v>93</v>
      </c>
      <c r="D95" s="106" t="s">
        <v>89</v>
      </c>
      <c r="E95" s="190" t="s">
        <v>183</v>
      </c>
      <c r="F95" s="190" t="s">
        <v>148</v>
      </c>
      <c r="G95" s="190" t="s">
        <v>66</v>
      </c>
      <c r="H95" s="190" t="s">
        <v>187</v>
      </c>
      <c r="I95" s="106" t="s">
        <v>74</v>
      </c>
      <c r="J95" s="109">
        <f t="shared" si="17"/>
        <v>200</v>
      </c>
      <c r="K95" s="109">
        <f t="shared" si="17"/>
        <v>200</v>
      </c>
      <c r="L95" s="109">
        <f t="shared" si="17"/>
        <v>200</v>
      </c>
    </row>
    <row r="96" spans="1:14" s="161" customFormat="1" ht="54">
      <c r="A96" s="104" t="s">
        <v>75</v>
      </c>
      <c r="B96" s="106" t="s">
        <v>118</v>
      </c>
      <c r="C96" s="106" t="s">
        <v>93</v>
      </c>
      <c r="D96" s="106" t="s">
        <v>89</v>
      </c>
      <c r="E96" s="190" t="s">
        <v>183</v>
      </c>
      <c r="F96" s="190" t="s">
        <v>148</v>
      </c>
      <c r="G96" s="190" t="s">
        <v>66</v>
      </c>
      <c r="H96" s="190" t="s">
        <v>187</v>
      </c>
      <c r="I96" s="106" t="s">
        <v>76</v>
      </c>
      <c r="J96" s="109">
        <f>200</f>
        <v>200</v>
      </c>
      <c r="K96" s="109">
        <f>200</f>
        <v>200</v>
      </c>
      <c r="L96" s="109">
        <f>200</f>
        <v>200</v>
      </c>
      <c r="M96" s="159" t="s">
        <v>287</v>
      </c>
      <c r="N96" s="177" t="s">
        <v>287</v>
      </c>
    </row>
    <row r="97" spans="1:12" s="161" customFormat="1" ht="36">
      <c r="A97" s="189" t="s">
        <v>188</v>
      </c>
      <c r="B97" s="106" t="s">
        <v>118</v>
      </c>
      <c r="C97" s="106" t="s">
        <v>93</v>
      </c>
      <c r="D97" s="106" t="s">
        <v>89</v>
      </c>
      <c r="E97" s="190" t="s">
        <v>183</v>
      </c>
      <c r="F97" s="190" t="s">
        <v>148</v>
      </c>
      <c r="G97" s="190" t="s">
        <v>66</v>
      </c>
      <c r="H97" s="190" t="s">
        <v>189</v>
      </c>
      <c r="I97" s="106"/>
      <c r="J97" s="109">
        <f aca="true" t="shared" si="18" ref="J97:L98">J98</f>
        <v>100</v>
      </c>
      <c r="K97" s="109">
        <f t="shared" si="18"/>
        <v>100</v>
      </c>
      <c r="L97" s="109">
        <f t="shared" si="18"/>
        <v>100</v>
      </c>
    </row>
    <row r="98" spans="1:12" s="161" customFormat="1" ht="54">
      <c r="A98" s="104" t="s">
        <v>153</v>
      </c>
      <c r="B98" s="106" t="s">
        <v>118</v>
      </c>
      <c r="C98" s="106" t="s">
        <v>93</v>
      </c>
      <c r="D98" s="106" t="s">
        <v>89</v>
      </c>
      <c r="E98" s="190" t="s">
        <v>183</v>
      </c>
      <c r="F98" s="190" t="s">
        <v>148</v>
      </c>
      <c r="G98" s="190" t="s">
        <v>66</v>
      </c>
      <c r="H98" s="190" t="s">
        <v>189</v>
      </c>
      <c r="I98" s="106" t="s">
        <v>74</v>
      </c>
      <c r="J98" s="109">
        <f t="shared" si="18"/>
        <v>100</v>
      </c>
      <c r="K98" s="109">
        <f t="shared" si="18"/>
        <v>100</v>
      </c>
      <c r="L98" s="109">
        <f t="shared" si="18"/>
        <v>100</v>
      </c>
    </row>
    <row r="99" spans="1:14" s="161" customFormat="1" ht="54">
      <c r="A99" s="104" t="s">
        <v>75</v>
      </c>
      <c r="B99" s="106" t="s">
        <v>118</v>
      </c>
      <c r="C99" s="106" t="s">
        <v>93</v>
      </c>
      <c r="D99" s="106" t="s">
        <v>89</v>
      </c>
      <c r="E99" s="190" t="s">
        <v>183</v>
      </c>
      <c r="F99" s="190" t="s">
        <v>148</v>
      </c>
      <c r="G99" s="190" t="s">
        <v>66</v>
      </c>
      <c r="H99" s="190" t="s">
        <v>189</v>
      </c>
      <c r="I99" s="106" t="s">
        <v>76</v>
      </c>
      <c r="J99" s="109">
        <f>100</f>
        <v>100</v>
      </c>
      <c r="K99" s="109">
        <f>100</f>
        <v>100</v>
      </c>
      <c r="L99" s="109">
        <f>100</f>
        <v>100</v>
      </c>
      <c r="M99" s="159" t="s">
        <v>287</v>
      </c>
      <c r="N99" s="177" t="s">
        <v>287</v>
      </c>
    </row>
    <row r="100" spans="1:12" s="161" customFormat="1" ht="36" hidden="1">
      <c r="A100" s="104" t="s">
        <v>73</v>
      </c>
      <c r="B100" s="106" t="s">
        <v>118</v>
      </c>
      <c r="C100" s="106" t="s">
        <v>93</v>
      </c>
      <c r="D100" s="106" t="s">
        <v>89</v>
      </c>
      <c r="E100" s="190" t="s">
        <v>183</v>
      </c>
      <c r="F100" s="190" t="s">
        <v>148</v>
      </c>
      <c r="G100" s="190" t="s">
        <v>66</v>
      </c>
      <c r="H100" s="182"/>
      <c r="I100" s="106" t="s">
        <v>74</v>
      </c>
      <c r="J100" s="109">
        <f>J101</f>
        <v>0</v>
      </c>
      <c r="K100" s="109">
        <f>K101</f>
        <v>0</v>
      </c>
      <c r="L100" s="109">
        <f>L101</f>
        <v>0</v>
      </c>
    </row>
    <row r="101" spans="1:14" s="161" customFormat="1" ht="54" hidden="1">
      <c r="A101" s="104" t="s">
        <v>75</v>
      </c>
      <c r="B101" s="106" t="s">
        <v>118</v>
      </c>
      <c r="C101" s="106" t="s">
        <v>93</v>
      </c>
      <c r="D101" s="106" t="s">
        <v>89</v>
      </c>
      <c r="E101" s="190" t="s">
        <v>183</v>
      </c>
      <c r="F101" s="190" t="s">
        <v>148</v>
      </c>
      <c r="G101" s="190" t="s">
        <v>66</v>
      </c>
      <c r="H101" s="182"/>
      <c r="I101" s="106" t="s">
        <v>76</v>
      </c>
      <c r="J101" s="109">
        <f>0</f>
        <v>0</v>
      </c>
      <c r="K101" s="109">
        <f>0</f>
        <v>0</v>
      </c>
      <c r="L101" s="109">
        <f>0</f>
        <v>0</v>
      </c>
      <c r="M101" s="159" t="s">
        <v>287</v>
      </c>
      <c r="N101" s="177" t="s">
        <v>287</v>
      </c>
    </row>
    <row r="102" spans="1:12" s="161" customFormat="1" ht="36">
      <c r="A102" s="189" t="s">
        <v>190</v>
      </c>
      <c r="B102" s="106" t="s">
        <v>118</v>
      </c>
      <c r="C102" s="106" t="s">
        <v>93</v>
      </c>
      <c r="D102" s="106" t="s">
        <v>89</v>
      </c>
      <c r="E102" s="190" t="s">
        <v>183</v>
      </c>
      <c r="F102" s="190" t="s">
        <v>148</v>
      </c>
      <c r="G102" s="190" t="s">
        <v>88</v>
      </c>
      <c r="H102" s="190" t="s">
        <v>150</v>
      </c>
      <c r="I102" s="106"/>
      <c r="J102" s="109">
        <f>J103</f>
        <v>100</v>
      </c>
      <c r="K102" s="109">
        <f aca="true" t="shared" si="19" ref="K102:L104">K103</f>
        <v>100</v>
      </c>
      <c r="L102" s="109">
        <f t="shared" si="19"/>
        <v>100</v>
      </c>
    </row>
    <row r="103" spans="1:12" s="161" customFormat="1" ht="36">
      <c r="A103" s="189" t="s">
        <v>191</v>
      </c>
      <c r="B103" s="106" t="s">
        <v>118</v>
      </c>
      <c r="C103" s="106" t="s">
        <v>124</v>
      </c>
      <c r="D103" s="106" t="s">
        <v>89</v>
      </c>
      <c r="E103" s="190" t="s">
        <v>183</v>
      </c>
      <c r="F103" s="190" t="s">
        <v>148</v>
      </c>
      <c r="G103" s="190" t="s">
        <v>88</v>
      </c>
      <c r="H103" s="184" t="s">
        <v>192</v>
      </c>
      <c r="I103" s="106"/>
      <c r="J103" s="109">
        <f>J104</f>
        <v>100</v>
      </c>
      <c r="K103" s="109">
        <f t="shared" si="19"/>
        <v>100</v>
      </c>
      <c r="L103" s="109">
        <f t="shared" si="19"/>
        <v>100</v>
      </c>
    </row>
    <row r="104" spans="1:12" s="161" customFormat="1" ht="54">
      <c r="A104" s="104" t="s">
        <v>153</v>
      </c>
      <c r="B104" s="106" t="s">
        <v>118</v>
      </c>
      <c r="C104" s="106" t="s">
        <v>93</v>
      </c>
      <c r="D104" s="106" t="s">
        <v>89</v>
      </c>
      <c r="E104" s="190" t="s">
        <v>183</v>
      </c>
      <c r="F104" s="190" t="s">
        <v>148</v>
      </c>
      <c r="G104" s="190" t="s">
        <v>88</v>
      </c>
      <c r="H104" s="184" t="s">
        <v>192</v>
      </c>
      <c r="I104" s="106" t="s">
        <v>74</v>
      </c>
      <c r="J104" s="109">
        <f>J105</f>
        <v>100</v>
      </c>
      <c r="K104" s="109">
        <f t="shared" si="19"/>
        <v>100</v>
      </c>
      <c r="L104" s="109">
        <f t="shared" si="19"/>
        <v>100</v>
      </c>
    </row>
    <row r="105" spans="1:14" s="161" customFormat="1" ht="54">
      <c r="A105" s="104" t="s">
        <v>75</v>
      </c>
      <c r="B105" s="106" t="s">
        <v>118</v>
      </c>
      <c r="C105" s="106" t="s">
        <v>93</v>
      </c>
      <c r="D105" s="106" t="s">
        <v>89</v>
      </c>
      <c r="E105" s="190" t="s">
        <v>183</v>
      </c>
      <c r="F105" s="190" t="s">
        <v>148</v>
      </c>
      <c r="G105" s="190" t="s">
        <v>88</v>
      </c>
      <c r="H105" s="184" t="s">
        <v>192</v>
      </c>
      <c r="I105" s="106" t="s">
        <v>76</v>
      </c>
      <c r="J105" s="109">
        <f>100</f>
        <v>100</v>
      </c>
      <c r="K105" s="109">
        <f>100</f>
        <v>100</v>
      </c>
      <c r="L105" s="109">
        <f>100</f>
        <v>100</v>
      </c>
      <c r="M105" s="159" t="s">
        <v>287</v>
      </c>
      <c r="N105" s="177" t="s">
        <v>287</v>
      </c>
    </row>
    <row r="106" spans="1:12" s="161" customFormat="1" ht="36">
      <c r="A106" s="189" t="s">
        <v>193</v>
      </c>
      <c r="B106" s="106" t="s">
        <v>118</v>
      </c>
      <c r="C106" s="106" t="s">
        <v>93</v>
      </c>
      <c r="D106" s="106" t="s">
        <v>89</v>
      </c>
      <c r="E106" s="190" t="s">
        <v>183</v>
      </c>
      <c r="F106" s="190" t="s">
        <v>148</v>
      </c>
      <c r="G106" s="190" t="s">
        <v>89</v>
      </c>
      <c r="H106" s="190" t="s">
        <v>150</v>
      </c>
      <c r="I106" s="106"/>
      <c r="J106" s="109">
        <f>J107</f>
        <v>100</v>
      </c>
      <c r="K106" s="109">
        <f aca="true" t="shared" si="20" ref="K106:L108">K107</f>
        <v>100</v>
      </c>
      <c r="L106" s="109">
        <f t="shared" si="20"/>
        <v>100</v>
      </c>
    </row>
    <row r="107" spans="1:12" s="161" customFormat="1" ht="18">
      <c r="A107" s="189" t="s">
        <v>194</v>
      </c>
      <c r="B107" s="106" t="s">
        <v>118</v>
      </c>
      <c r="C107" s="106" t="s">
        <v>93</v>
      </c>
      <c r="D107" s="106" t="s">
        <v>89</v>
      </c>
      <c r="E107" s="190" t="s">
        <v>183</v>
      </c>
      <c r="F107" s="190" t="s">
        <v>148</v>
      </c>
      <c r="G107" s="190" t="s">
        <v>89</v>
      </c>
      <c r="H107" s="190" t="s">
        <v>195</v>
      </c>
      <c r="I107" s="106"/>
      <c r="J107" s="109">
        <f>J108</f>
        <v>100</v>
      </c>
      <c r="K107" s="109">
        <f t="shared" si="20"/>
        <v>100</v>
      </c>
      <c r="L107" s="109">
        <f t="shared" si="20"/>
        <v>100</v>
      </c>
    </row>
    <row r="108" spans="1:12" s="161" customFormat="1" ht="54">
      <c r="A108" s="104" t="s">
        <v>153</v>
      </c>
      <c r="B108" s="106" t="s">
        <v>118</v>
      </c>
      <c r="C108" s="106" t="s">
        <v>93</v>
      </c>
      <c r="D108" s="106" t="s">
        <v>89</v>
      </c>
      <c r="E108" s="190" t="s">
        <v>183</v>
      </c>
      <c r="F108" s="190" t="s">
        <v>148</v>
      </c>
      <c r="G108" s="190" t="s">
        <v>89</v>
      </c>
      <c r="H108" s="190" t="s">
        <v>195</v>
      </c>
      <c r="I108" s="106" t="s">
        <v>74</v>
      </c>
      <c r="J108" s="109">
        <f>J109</f>
        <v>100</v>
      </c>
      <c r="K108" s="109">
        <f t="shared" si="20"/>
        <v>100</v>
      </c>
      <c r="L108" s="109">
        <f t="shared" si="20"/>
        <v>100</v>
      </c>
    </row>
    <row r="109" spans="1:14" s="161" customFormat="1" ht="54">
      <c r="A109" s="104" t="s">
        <v>75</v>
      </c>
      <c r="B109" s="106" t="s">
        <v>118</v>
      </c>
      <c r="C109" s="106" t="s">
        <v>93</v>
      </c>
      <c r="D109" s="106" t="s">
        <v>89</v>
      </c>
      <c r="E109" s="190" t="s">
        <v>183</v>
      </c>
      <c r="F109" s="190" t="s">
        <v>148</v>
      </c>
      <c r="G109" s="190" t="s">
        <v>89</v>
      </c>
      <c r="H109" s="190" t="s">
        <v>195</v>
      </c>
      <c r="I109" s="106" t="s">
        <v>76</v>
      </c>
      <c r="J109" s="109">
        <f>100</f>
        <v>100</v>
      </c>
      <c r="K109" s="109">
        <f>100</f>
        <v>100</v>
      </c>
      <c r="L109" s="109">
        <f>100</f>
        <v>100</v>
      </c>
      <c r="M109" s="159" t="s">
        <v>287</v>
      </c>
      <c r="N109" s="177" t="s">
        <v>287</v>
      </c>
    </row>
    <row r="110" spans="1:12" s="161" customFormat="1" ht="54">
      <c r="A110" s="189" t="s">
        <v>196</v>
      </c>
      <c r="B110" s="106" t="s">
        <v>118</v>
      </c>
      <c r="C110" s="106" t="s">
        <v>93</v>
      </c>
      <c r="D110" s="106" t="s">
        <v>89</v>
      </c>
      <c r="E110" s="190" t="s">
        <v>183</v>
      </c>
      <c r="F110" s="190" t="s">
        <v>148</v>
      </c>
      <c r="G110" s="190" t="s">
        <v>67</v>
      </c>
      <c r="H110" s="190" t="s">
        <v>150</v>
      </c>
      <c r="I110" s="106"/>
      <c r="J110" s="109">
        <f>J111</f>
        <v>100</v>
      </c>
      <c r="K110" s="109">
        <f aca="true" t="shared" si="21" ref="K110:L112">K111</f>
        <v>100</v>
      </c>
      <c r="L110" s="109">
        <f t="shared" si="21"/>
        <v>100</v>
      </c>
    </row>
    <row r="111" spans="1:12" s="161" customFormat="1" ht="18">
      <c r="A111" s="189" t="s">
        <v>197</v>
      </c>
      <c r="B111" s="106" t="s">
        <v>118</v>
      </c>
      <c r="C111" s="106" t="s">
        <v>124</v>
      </c>
      <c r="D111" s="106" t="s">
        <v>89</v>
      </c>
      <c r="E111" s="106" t="s">
        <v>183</v>
      </c>
      <c r="F111" s="106" t="s">
        <v>148</v>
      </c>
      <c r="G111" s="106" t="s">
        <v>67</v>
      </c>
      <c r="H111" s="184" t="s">
        <v>198</v>
      </c>
      <c r="I111" s="106"/>
      <c r="J111" s="109">
        <f>J112</f>
        <v>100</v>
      </c>
      <c r="K111" s="109">
        <f t="shared" si="21"/>
        <v>100</v>
      </c>
      <c r="L111" s="109">
        <f t="shared" si="21"/>
        <v>100</v>
      </c>
    </row>
    <row r="112" spans="1:12" s="161" customFormat="1" ht="54">
      <c r="A112" s="104" t="s">
        <v>153</v>
      </c>
      <c r="B112" s="106" t="s">
        <v>118</v>
      </c>
      <c r="C112" s="106" t="s">
        <v>93</v>
      </c>
      <c r="D112" s="106" t="s">
        <v>89</v>
      </c>
      <c r="E112" s="106" t="s">
        <v>183</v>
      </c>
      <c r="F112" s="106" t="s">
        <v>148</v>
      </c>
      <c r="G112" s="106" t="s">
        <v>67</v>
      </c>
      <c r="H112" s="184" t="s">
        <v>198</v>
      </c>
      <c r="I112" s="106" t="s">
        <v>74</v>
      </c>
      <c r="J112" s="109">
        <f>J113</f>
        <v>100</v>
      </c>
      <c r="K112" s="109">
        <f t="shared" si="21"/>
        <v>100</v>
      </c>
      <c r="L112" s="109">
        <f t="shared" si="21"/>
        <v>100</v>
      </c>
    </row>
    <row r="113" spans="1:14" s="161" customFormat="1" ht="54">
      <c r="A113" s="104" t="s">
        <v>75</v>
      </c>
      <c r="B113" s="106" t="s">
        <v>118</v>
      </c>
      <c r="C113" s="106" t="s">
        <v>93</v>
      </c>
      <c r="D113" s="106" t="s">
        <v>89</v>
      </c>
      <c r="E113" s="106" t="s">
        <v>183</v>
      </c>
      <c r="F113" s="106" t="s">
        <v>148</v>
      </c>
      <c r="G113" s="106" t="s">
        <v>67</v>
      </c>
      <c r="H113" s="184" t="s">
        <v>198</v>
      </c>
      <c r="I113" s="106" t="s">
        <v>76</v>
      </c>
      <c r="J113" s="109">
        <f>100</f>
        <v>100</v>
      </c>
      <c r="K113" s="109">
        <f>100</f>
        <v>100</v>
      </c>
      <c r="L113" s="109">
        <f>100</f>
        <v>100</v>
      </c>
      <c r="M113" s="159" t="s">
        <v>287</v>
      </c>
      <c r="N113" s="177" t="s">
        <v>287</v>
      </c>
    </row>
    <row r="114" spans="1:12" s="161" customFormat="1" ht="36">
      <c r="A114" s="79" t="s">
        <v>264</v>
      </c>
      <c r="B114" s="106" t="s">
        <v>118</v>
      </c>
      <c r="C114" s="106" t="s">
        <v>93</v>
      </c>
      <c r="D114" s="106" t="s">
        <v>89</v>
      </c>
      <c r="E114" s="106" t="s">
        <v>183</v>
      </c>
      <c r="F114" s="106" t="s">
        <v>148</v>
      </c>
      <c r="G114" s="106" t="s">
        <v>93</v>
      </c>
      <c r="H114" s="106" t="s">
        <v>150</v>
      </c>
      <c r="I114" s="106"/>
      <c r="J114" s="109">
        <f>J115+J118</f>
        <v>1000</v>
      </c>
      <c r="K114" s="109">
        <f>K115+K118</f>
        <v>0</v>
      </c>
      <c r="L114" s="109">
        <f>L115+L118</f>
        <v>0</v>
      </c>
    </row>
    <row r="115" spans="1:12" s="161" customFormat="1" ht="54">
      <c r="A115" s="79" t="s">
        <v>265</v>
      </c>
      <c r="B115" s="106" t="s">
        <v>118</v>
      </c>
      <c r="C115" s="106" t="s">
        <v>93</v>
      </c>
      <c r="D115" s="106" t="s">
        <v>89</v>
      </c>
      <c r="E115" s="106" t="s">
        <v>183</v>
      </c>
      <c r="F115" s="106" t="s">
        <v>148</v>
      </c>
      <c r="G115" s="106" t="s">
        <v>93</v>
      </c>
      <c r="H115" s="106" t="s">
        <v>266</v>
      </c>
      <c r="I115" s="106"/>
      <c r="J115" s="109">
        <f aca="true" t="shared" si="22" ref="J115:L116">J116</f>
        <v>624</v>
      </c>
      <c r="K115" s="109">
        <f t="shared" si="22"/>
        <v>0</v>
      </c>
      <c r="L115" s="109">
        <f t="shared" si="22"/>
        <v>0</v>
      </c>
    </row>
    <row r="116" spans="1:12" s="161" customFormat="1" ht="54">
      <c r="A116" s="104" t="s">
        <v>153</v>
      </c>
      <c r="B116" s="106" t="s">
        <v>118</v>
      </c>
      <c r="C116" s="106" t="s">
        <v>93</v>
      </c>
      <c r="D116" s="106" t="s">
        <v>89</v>
      </c>
      <c r="E116" s="106" t="s">
        <v>183</v>
      </c>
      <c r="F116" s="106" t="s">
        <v>148</v>
      </c>
      <c r="G116" s="106" t="s">
        <v>93</v>
      </c>
      <c r="H116" s="106" t="s">
        <v>266</v>
      </c>
      <c r="I116" s="106" t="s">
        <v>74</v>
      </c>
      <c r="J116" s="109">
        <f t="shared" si="22"/>
        <v>624</v>
      </c>
      <c r="K116" s="109">
        <f t="shared" si="22"/>
        <v>0</v>
      </c>
      <c r="L116" s="109">
        <f t="shared" si="22"/>
        <v>0</v>
      </c>
    </row>
    <row r="117" spans="1:14" s="161" customFormat="1" ht="54">
      <c r="A117" s="104" t="s">
        <v>75</v>
      </c>
      <c r="B117" s="106" t="s">
        <v>118</v>
      </c>
      <c r="C117" s="106" t="s">
        <v>93</v>
      </c>
      <c r="D117" s="106" t="s">
        <v>89</v>
      </c>
      <c r="E117" s="106" t="s">
        <v>183</v>
      </c>
      <c r="F117" s="106" t="s">
        <v>148</v>
      </c>
      <c r="G117" s="106" t="s">
        <v>93</v>
      </c>
      <c r="H117" s="106" t="s">
        <v>266</v>
      </c>
      <c r="I117" s="106" t="s">
        <v>76</v>
      </c>
      <c r="J117" s="109">
        <f>624</f>
        <v>624</v>
      </c>
      <c r="K117" s="109">
        <f>0</f>
        <v>0</v>
      </c>
      <c r="L117" s="109">
        <f>0</f>
        <v>0</v>
      </c>
      <c r="M117" s="177">
        <v>-624</v>
      </c>
      <c r="N117" s="177">
        <v>-624</v>
      </c>
    </row>
    <row r="118" spans="1:14" s="161" customFormat="1" ht="54">
      <c r="A118" s="79" t="s">
        <v>267</v>
      </c>
      <c r="B118" s="106" t="s">
        <v>118</v>
      </c>
      <c r="C118" s="106" t="s">
        <v>93</v>
      </c>
      <c r="D118" s="106" t="s">
        <v>89</v>
      </c>
      <c r="E118" s="106" t="s">
        <v>183</v>
      </c>
      <c r="F118" s="106" t="s">
        <v>148</v>
      </c>
      <c r="G118" s="106" t="s">
        <v>93</v>
      </c>
      <c r="H118" s="106" t="s">
        <v>268</v>
      </c>
      <c r="I118" s="106"/>
      <c r="J118" s="109">
        <f aca="true" t="shared" si="23" ref="J118:L119">J119</f>
        <v>376</v>
      </c>
      <c r="K118" s="109">
        <f t="shared" si="23"/>
        <v>0</v>
      </c>
      <c r="L118" s="109">
        <f t="shared" si="23"/>
        <v>0</v>
      </c>
      <c r="M118" s="177"/>
      <c r="N118" s="177"/>
    </row>
    <row r="119" spans="1:14" s="161" customFormat="1" ht="54">
      <c r="A119" s="104" t="s">
        <v>153</v>
      </c>
      <c r="B119" s="106" t="s">
        <v>118</v>
      </c>
      <c r="C119" s="106" t="s">
        <v>93</v>
      </c>
      <c r="D119" s="106" t="s">
        <v>89</v>
      </c>
      <c r="E119" s="106" t="s">
        <v>183</v>
      </c>
      <c r="F119" s="106" t="s">
        <v>148</v>
      </c>
      <c r="G119" s="106" t="s">
        <v>93</v>
      </c>
      <c r="H119" s="106" t="s">
        <v>268</v>
      </c>
      <c r="I119" s="106" t="s">
        <v>74</v>
      </c>
      <c r="J119" s="109">
        <f t="shared" si="23"/>
        <v>376</v>
      </c>
      <c r="K119" s="109">
        <f t="shared" si="23"/>
        <v>0</v>
      </c>
      <c r="L119" s="109">
        <f t="shared" si="23"/>
        <v>0</v>
      </c>
      <c r="M119" s="177"/>
      <c r="N119" s="177"/>
    </row>
    <row r="120" spans="1:14" s="161" customFormat="1" ht="54">
      <c r="A120" s="104" t="s">
        <v>75</v>
      </c>
      <c r="B120" s="106" t="s">
        <v>118</v>
      </c>
      <c r="C120" s="106" t="s">
        <v>93</v>
      </c>
      <c r="D120" s="106" t="s">
        <v>89</v>
      </c>
      <c r="E120" s="106" t="s">
        <v>183</v>
      </c>
      <c r="F120" s="106" t="s">
        <v>148</v>
      </c>
      <c r="G120" s="106" t="s">
        <v>93</v>
      </c>
      <c r="H120" s="106" t="s">
        <v>268</v>
      </c>
      <c r="I120" s="106" t="s">
        <v>76</v>
      </c>
      <c r="J120" s="109">
        <f>376</f>
        <v>376</v>
      </c>
      <c r="K120" s="109">
        <f>0</f>
        <v>0</v>
      </c>
      <c r="L120" s="109">
        <f>0</f>
        <v>0</v>
      </c>
      <c r="M120" s="177">
        <v>-376</v>
      </c>
      <c r="N120" s="177">
        <v>-376</v>
      </c>
    </row>
    <row r="121" spans="1:12" s="161" customFormat="1" ht="45.75" customHeight="1">
      <c r="A121" s="189" t="s">
        <v>199</v>
      </c>
      <c r="B121" s="106" t="s">
        <v>118</v>
      </c>
      <c r="C121" s="106" t="s">
        <v>93</v>
      </c>
      <c r="D121" s="106" t="s">
        <v>89</v>
      </c>
      <c r="E121" s="190" t="s">
        <v>183</v>
      </c>
      <c r="F121" s="190" t="s">
        <v>148</v>
      </c>
      <c r="G121" s="190" t="s">
        <v>200</v>
      </c>
      <c r="H121" s="190" t="s">
        <v>150</v>
      </c>
      <c r="I121" s="106"/>
      <c r="J121" s="109">
        <f>J122</f>
        <v>50</v>
      </c>
      <c r="K121" s="109">
        <f aca="true" t="shared" si="24" ref="K121:L123">K122</f>
        <v>50</v>
      </c>
      <c r="L121" s="109">
        <f t="shared" si="24"/>
        <v>50</v>
      </c>
    </row>
    <row r="122" spans="1:12" s="161" customFormat="1" ht="36">
      <c r="A122" s="189" t="s">
        <v>125</v>
      </c>
      <c r="B122" s="106" t="s">
        <v>118</v>
      </c>
      <c r="C122" s="106" t="s">
        <v>124</v>
      </c>
      <c r="D122" s="106" t="s">
        <v>89</v>
      </c>
      <c r="E122" s="190" t="s">
        <v>183</v>
      </c>
      <c r="F122" s="190" t="s">
        <v>148</v>
      </c>
      <c r="G122" s="190" t="s">
        <v>200</v>
      </c>
      <c r="H122" s="190" t="s">
        <v>201</v>
      </c>
      <c r="I122" s="106"/>
      <c r="J122" s="109">
        <f>J123</f>
        <v>50</v>
      </c>
      <c r="K122" s="109">
        <f t="shared" si="24"/>
        <v>50</v>
      </c>
      <c r="L122" s="109">
        <f t="shared" si="24"/>
        <v>50</v>
      </c>
    </row>
    <row r="123" spans="1:12" s="161" customFormat="1" ht="54">
      <c r="A123" s="104" t="s">
        <v>153</v>
      </c>
      <c r="B123" s="106" t="s">
        <v>118</v>
      </c>
      <c r="C123" s="106" t="s">
        <v>93</v>
      </c>
      <c r="D123" s="106" t="s">
        <v>89</v>
      </c>
      <c r="E123" s="190" t="s">
        <v>183</v>
      </c>
      <c r="F123" s="190" t="s">
        <v>148</v>
      </c>
      <c r="G123" s="190" t="s">
        <v>200</v>
      </c>
      <c r="H123" s="190" t="s">
        <v>201</v>
      </c>
      <c r="I123" s="106" t="s">
        <v>74</v>
      </c>
      <c r="J123" s="109">
        <f>J124</f>
        <v>50</v>
      </c>
      <c r="K123" s="109">
        <f t="shared" si="24"/>
        <v>50</v>
      </c>
      <c r="L123" s="109">
        <f t="shared" si="24"/>
        <v>50</v>
      </c>
    </row>
    <row r="124" spans="1:12" s="161" customFormat="1" ht="54">
      <c r="A124" s="104" t="s">
        <v>75</v>
      </c>
      <c r="B124" s="106" t="s">
        <v>118</v>
      </c>
      <c r="C124" s="106" t="s">
        <v>93</v>
      </c>
      <c r="D124" s="106" t="s">
        <v>89</v>
      </c>
      <c r="E124" s="190" t="s">
        <v>183</v>
      </c>
      <c r="F124" s="190" t="s">
        <v>148</v>
      </c>
      <c r="G124" s="190" t="s">
        <v>200</v>
      </c>
      <c r="H124" s="190" t="s">
        <v>201</v>
      </c>
      <c r="I124" s="106" t="s">
        <v>76</v>
      </c>
      <c r="J124" s="109">
        <f>50</f>
        <v>50</v>
      </c>
      <c r="K124" s="109">
        <f>50</f>
        <v>50</v>
      </c>
      <c r="L124" s="109">
        <f>50</f>
        <v>50</v>
      </c>
    </row>
    <row r="125" spans="1:12" s="161" customFormat="1" ht="54">
      <c r="A125" s="169" t="s">
        <v>116</v>
      </c>
      <c r="B125" s="106" t="s">
        <v>118</v>
      </c>
      <c r="C125" s="106" t="s">
        <v>93</v>
      </c>
      <c r="D125" s="106" t="s">
        <v>89</v>
      </c>
      <c r="E125" s="107" t="s">
        <v>155</v>
      </c>
      <c r="F125" s="107" t="s">
        <v>148</v>
      </c>
      <c r="G125" s="107" t="s">
        <v>149</v>
      </c>
      <c r="H125" s="107" t="s">
        <v>150</v>
      </c>
      <c r="I125" s="106"/>
      <c r="J125" s="109">
        <f>J126</f>
        <v>22600</v>
      </c>
      <c r="K125" s="109">
        <f>K126</f>
        <v>23665</v>
      </c>
      <c r="L125" s="109">
        <f>L126</f>
        <v>24230</v>
      </c>
    </row>
    <row r="126" spans="1:12" s="161" customFormat="1" ht="18">
      <c r="A126" s="169" t="s">
        <v>202</v>
      </c>
      <c r="B126" s="106" t="s">
        <v>118</v>
      </c>
      <c r="C126" s="106" t="s">
        <v>93</v>
      </c>
      <c r="D126" s="106" t="s">
        <v>89</v>
      </c>
      <c r="E126" s="107" t="s">
        <v>155</v>
      </c>
      <c r="F126" s="107" t="s">
        <v>61</v>
      </c>
      <c r="G126" s="107" t="s">
        <v>149</v>
      </c>
      <c r="H126" s="107" t="s">
        <v>150</v>
      </c>
      <c r="I126" s="192"/>
      <c r="J126" s="193">
        <f>J127+J130+J133+J136</f>
        <v>22600</v>
      </c>
      <c r="K126" s="193">
        <f>K127+K130+K133+K136</f>
        <v>23665</v>
      </c>
      <c r="L126" s="193">
        <f>L127+L130+L133+L136</f>
        <v>24230</v>
      </c>
    </row>
    <row r="127" spans="1:12" s="161" customFormat="1" ht="18">
      <c r="A127" s="194" t="s">
        <v>95</v>
      </c>
      <c r="B127" s="106" t="s">
        <v>118</v>
      </c>
      <c r="C127" s="192" t="s">
        <v>93</v>
      </c>
      <c r="D127" s="192" t="s">
        <v>89</v>
      </c>
      <c r="E127" s="107" t="s">
        <v>155</v>
      </c>
      <c r="F127" s="107" t="s">
        <v>61</v>
      </c>
      <c r="G127" s="107" t="s">
        <v>149</v>
      </c>
      <c r="H127" s="107" t="s">
        <v>203</v>
      </c>
      <c r="I127" s="192"/>
      <c r="J127" s="193">
        <f>J129</f>
        <v>9200</v>
      </c>
      <c r="K127" s="193">
        <f>K129</f>
        <v>9430</v>
      </c>
      <c r="L127" s="193">
        <f>L129</f>
        <v>9660</v>
      </c>
    </row>
    <row r="128" spans="1:12" s="161" customFormat="1" ht="54">
      <c r="A128" s="104" t="s">
        <v>153</v>
      </c>
      <c r="B128" s="106" t="s">
        <v>118</v>
      </c>
      <c r="C128" s="192" t="s">
        <v>93</v>
      </c>
      <c r="D128" s="192" t="s">
        <v>89</v>
      </c>
      <c r="E128" s="107" t="s">
        <v>155</v>
      </c>
      <c r="F128" s="107" t="s">
        <v>61</v>
      </c>
      <c r="G128" s="107" t="s">
        <v>149</v>
      </c>
      <c r="H128" s="107" t="s">
        <v>203</v>
      </c>
      <c r="I128" s="192" t="s">
        <v>74</v>
      </c>
      <c r="J128" s="193">
        <f>J129</f>
        <v>9200</v>
      </c>
      <c r="K128" s="193">
        <f>K129</f>
        <v>9430</v>
      </c>
      <c r="L128" s="193">
        <f>L129</f>
        <v>9660</v>
      </c>
    </row>
    <row r="129" spans="1:14" s="161" customFormat="1" ht="54">
      <c r="A129" s="104" t="s">
        <v>75</v>
      </c>
      <c r="B129" s="106" t="s">
        <v>118</v>
      </c>
      <c r="C129" s="192" t="s">
        <v>93</v>
      </c>
      <c r="D129" s="192" t="s">
        <v>89</v>
      </c>
      <c r="E129" s="107" t="s">
        <v>155</v>
      </c>
      <c r="F129" s="107" t="s">
        <v>61</v>
      </c>
      <c r="G129" s="107" t="s">
        <v>149</v>
      </c>
      <c r="H129" s="107" t="s">
        <v>203</v>
      </c>
      <c r="I129" s="192" t="s">
        <v>76</v>
      </c>
      <c r="J129" s="193">
        <f>3200+4800+1200</f>
        <v>9200</v>
      </c>
      <c r="K129" s="193">
        <f>J129*M129</f>
        <v>9430</v>
      </c>
      <c r="L129" s="193">
        <f>J129*N129</f>
        <v>9660</v>
      </c>
      <c r="M129" s="159">
        <v>1.025</v>
      </c>
      <c r="N129" s="160">
        <v>1.05</v>
      </c>
    </row>
    <row r="130" spans="1:12" s="161" customFormat="1" ht="18" hidden="1">
      <c r="A130" s="104" t="s">
        <v>126</v>
      </c>
      <c r="B130" s="106" t="s">
        <v>118</v>
      </c>
      <c r="C130" s="192" t="s">
        <v>93</v>
      </c>
      <c r="D130" s="192" t="s">
        <v>89</v>
      </c>
      <c r="E130" s="107" t="s">
        <v>155</v>
      </c>
      <c r="F130" s="107" t="s">
        <v>61</v>
      </c>
      <c r="G130" s="107" t="s">
        <v>149</v>
      </c>
      <c r="H130" s="107" t="s">
        <v>204</v>
      </c>
      <c r="I130" s="192"/>
      <c r="J130" s="193">
        <f aca="true" t="shared" si="25" ref="J130:L131">J131</f>
        <v>0</v>
      </c>
      <c r="K130" s="193">
        <f t="shared" si="25"/>
        <v>0</v>
      </c>
      <c r="L130" s="193">
        <f t="shared" si="25"/>
        <v>0</v>
      </c>
    </row>
    <row r="131" spans="1:12" s="161" customFormat="1" ht="54" hidden="1">
      <c r="A131" s="104" t="s">
        <v>153</v>
      </c>
      <c r="B131" s="106" t="s">
        <v>118</v>
      </c>
      <c r="C131" s="192" t="s">
        <v>93</v>
      </c>
      <c r="D131" s="192" t="s">
        <v>89</v>
      </c>
      <c r="E131" s="107" t="s">
        <v>155</v>
      </c>
      <c r="F131" s="107" t="s">
        <v>61</v>
      </c>
      <c r="G131" s="107" t="s">
        <v>149</v>
      </c>
      <c r="H131" s="107" t="s">
        <v>204</v>
      </c>
      <c r="I131" s="182" t="s">
        <v>74</v>
      </c>
      <c r="J131" s="109">
        <f t="shared" si="25"/>
        <v>0</v>
      </c>
      <c r="K131" s="109">
        <f t="shared" si="25"/>
        <v>0</v>
      </c>
      <c r="L131" s="109">
        <f t="shared" si="25"/>
        <v>0</v>
      </c>
    </row>
    <row r="132" spans="1:14" s="161" customFormat="1" ht="54" hidden="1">
      <c r="A132" s="104" t="s">
        <v>75</v>
      </c>
      <c r="B132" s="106" t="s">
        <v>118</v>
      </c>
      <c r="C132" s="192" t="s">
        <v>93</v>
      </c>
      <c r="D132" s="192" t="s">
        <v>89</v>
      </c>
      <c r="E132" s="107" t="s">
        <v>155</v>
      </c>
      <c r="F132" s="107" t="s">
        <v>61</v>
      </c>
      <c r="G132" s="107" t="s">
        <v>149</v>
      </c>
      <c r="H132" s="107" t="s">
        <v>204</v>
      </c>
      <c r="I132" s="182" t="s">
        <v>76</v>
      </c>
      <c r="J132" s="109">
        <v>0</v>
      </c>
      <c r="K132" s="109">
        <f>J132*M132</f>
        <v>0</v>
      </c>
      <c r="L132" s="109">
        <f>J132*N132</f>
        <v>0</v>
      </c>
      <c r="M132" s="159">
        <v>1.025</v>
      </c>
      <c r="N132" s="160">
        <v>1.05</v>
      </c>
    </row>
    <row r="133" spans="1:12" s="161" customFormat="1" ht="18" hidden="1">
      <c r="A133" s="104" t="s">
        <v>127</v>
      </c>
      <c r="B133" s="106" t="s">
        <v>118</v>
      </c>
      <c r="C133" s="192" t="s">
        <v>93</v>
      </c>
      <c r="D133" s="192" t="s">
        <v>89</v>
      </c>
      <c r="E133" s="107" t="s">
        <v>155</v>
      </c>
      <c r="F133" s="107" t="s">
        <v>61</v>
      </c>
      <c r="G133" s="107" t="s">
        <v>149</v>
      </c>
      <c r="H133" s="107" t="s">
        <v>205</v>
      </c>
      <c r="I133" s="192"/>
      <c r="J133" s="193">
        <f aca="true" t="shared" si="26" ref="J133:L134">J134</f>
        <v>0</v>
      </c>
      <c r="K133" s="193">
        <f t="shared" si="26"/>
        <v>0</v>
      </c>
      <c r="L133" s="193">
        <f t="shared" si="26"/>
        <v>0</v>
      </c>
    </row>
    <row r="134" spans="1:12" s="161" customFormat="1" ht="54" hidden="1">
      <c r="A134" s="104" t="s">
        <v>153</v>
      </c>
      <c r="B134" s="106" t="s">
        <v>118</v>
      </c>
      <c r="C134" s="192" t="s">
        <v>93</v>
      </c>
      <c r="D134" s="192" t="s">
        <v>89</v>
      </c>
      <c r="E134" s="107" t="s">
        <v>155</v>
      </c>
      <c r="F134" s="107" t="s">
        <v>61</v>
      </c>
      <c r="G134" s="107" t="s">
        <v>149</v>
      </c>
      <c r="H134" s="107" t="s">
        <v>205</v>
      </c>
      <c r="I134" s="182" t="s">
        <v>74</v>
      </c>
      <c r="J134" s="109">
        <f t="shared" si="26"/>
        <v>0</v>
      </c>
      <c r="K134" s="109">
        <f t="shared" si="26"/>
        <v>0</v>
      </c>
      <c r="L134" s="109">
        <f t="shared" si="26"/>
        <v>0</v>
      </c>
    </row>
    <row r="135" spans="1:14" s="161" customFormat="1" ht="54" hidden="1">
      <c r="A135" s="104" t="s">
        <v>75</v>
      </c>
      <c r="B135" s="106" t="s">
        <v>118</v>
      </c>
      <c r="C135" s="192" t="s">
        <v>93</v>
      </c>
      <c r="D135" s="192" t="s">
        <v>89</v>
      </c>
      <c r="E135" s="107" t="s">
        <v>155</v>
      </c>
      <c r="F135" s="107" t="s">
        <v>61</v>
      </c>
      <c r="G135" s="107" t="s">
        <v>149</v>
      </c>
      <c r="H135" s="107" t="s">
        <v>205</v>
      </c>
      <c r="I135" s="182" t="s">
        <v>76</v>
      </c>
      <c r="J135" s="109">
        <f>50-50</f>
        <v>0</v>
      </c>
      <c r="K135" s="109">
        <f>J135*M135</f>
        <v>0</v>
      </c>
      <c r="L135" s="109">
        <f>J135*N135</f>
        <v>0</v>
      </c>
      <c r="M135" s="159">
        <v>1.025</v>
      </c>
      <c r="N135" s="160">
        <v>1.05</v>
      </c>
    </row>
    <row r="136" spans="1:12" s="161" customFormat="1" ht="36">
      <c r="A136" s="194" t="s">
        <v>206</v>
      </c>
      <c r="B136" s="106" t="s">
        <v>118</v>
      </c>
      <c r="C136" s="192" t="s">
        <v>93</v>
      </c>
      <c r="D136" s="192" t="s">
        <v>89</v>
      </c>
      <c r="E136" s="107" t="s">
        <v>155</v>
      </c>
      <c r="F136" s="107" t="s">
        <v>61</v>
      </c>
      <c r="G136" s="107" t="s">
        <v>149</v>
      </c>
      <c r="H136" s="107" t="s">
        <v>207</v>
      </c>
      <c r="I136" s="192"/>
      <c r="J136" s="193">
        <f>J138</f>
        <v>13400</v>
      </c>
      <c r="K136" s="193">
        <f>K138</f>
        <v>14234.999999999998</v>
      </c>
      <c r="L136" s="193">
        <f>L138</f>
        <v>14570</v>
      </c>
    </row>
    <row r="137" spans="1:12" s="161" customFormat="1" ht="54">
      <c r="A137" s="104" t="s">
        <v>153</v>
      </c>
      <c r="B137" s="106" t="s">
        <v>118</v>
      </c>
      <c r="C137" s="192" t="s">
        <v>93</v>
      </c>
      <c r="D137" s="192" t="s">
        <v>89</v>
      </c>
      <c r="E137" s="107" t="s">
        <v>155</v>
      </c>
      <c r="F137" s="107" t="s">
        <v>61</v>
      </c>
      <c r="G137" s="107" t="s">
        <v>149</v>
      </c>
      <c r="H137" s="107" t="s">
        <v>207</v>
      </c>
      <c r="I137" s="182" t="s">
        <v>74</v>
      </c>
      <c r="J137" s="109">
        <f>J138</f>
        <v>13400</v>
      </c>
      <c r="K137" s="109">
        <f>K138</f>
        <v>14234.999999999998</v>
      </c>
      <c r="L137" s="109">
        <f>L138</f>
        <v>14570</v>
      </c>
    </row>
    <row r="138" spans="1:16" s="161" customFormat="1" ht="54">
      <c r="A138" s="104" t="s">
        <v>75</v>
      </c>
      <c r="B138" s="106" t="s">
        <v>118</v>
      </c>
      <c r="C138" s="192" t="s">
        <v>93</v>
      </c>
      <c r="D138" s="192" t="s">
        <v>89</v>
      </c>
      <c r="E138" s="107" t="s">
        <v>155</v>
      </c>
      <c r="F138" s="107" t="s">
        <v>61</v>
      </c>
      <c r="G138" s="107" t="s">
        <v>149</v>
      </c>
      <c r="H138" s="107" t="s">
        <v>207</v>
      </c>
      <c r="I138" s="182" t="s">
        <v>76</v>
      </c>
      <c r="J138" s="109">
        <f>13400</f>
        <v>13400</v>
      </c>
      <c r="K138" s="109">
        <f>(J138*M138)+500</f>
        <v>14234.999999999998</v>
      </c>
      <c r="L138" s="109">
        <f>(J138*N138)+500</f>
        <v>14570</v>
      </c>
      <c r="M138" s="159">
        <v>1.025</v>
      </c>
      <c r="N138" s="160">
        <v>1.05</v>
      </c>
      <c r="O138" s="177" t="s">
        <v>288</v>
      </c>
      <c r="P138" s="177" t="s">
        <v>289</v>
      </c>
    </row>
    <row r="139" spans="1:12" s="161" customFormat="1" ht="18">
      <c r="A139" s="162" t="s">
        <v>99</v>
      </c>
      <c r="B139" s="113" t="s">
        <v>118</v>
      </c>
      <c r="C139" s="158" t="s">
        <v>100</v>
      </c>
      <c r="D139" s="158"/>
      <c r="E139" s="158"/>
      <c r="F139" s="158"/>
      <c r="G139" s="158"/>
      <c r="H139" s="158"/>
      <c r="I139" s="158"/>
      <c r="J139" s="114">
        <f>J140</f>
        <v>320</v>
      </c>
      <c r="K139" s="114">
        <f aca="true" t="shared" si="27" ref="K139:L142">K140</f>
        <v>320.25</v>
      </c>
      <c r="L139" s="114">
        <f t="shared" si="27"/>
        <v>320.5</v>
      </c>
    </row>
    <row r="140" spans="1:12" s="161" customFormat="1" ht="18">
      <c r="A140" s="162" t="s">
        <v>101</v>
      </c>
      <c r="B140" s="113" t="s">
        <v>118</v>
      </c>
      <c r="C140" s="158" t="s">
        <v>100</v>
      </c>
      <c r="D140" s="158" t="s">
        <v>66</v>
      </c>
      <c r="E140" s="158"/>
      <c r="F140" s="158"/>
      <c r="G140" s="158"/>
      <c r="H140" s="158"/>
      <c r="I140" s="158"/>
      <c r="J140" s="114">
        <f>J141</f>
        <v>320</v>
      </c>
      <c r="K140" s="114">
        <f t="shared" si="27"/>
        <v>320.25</v>
      </c>
      <c r="L140" s="114">
        <f t="shared" si="27"/>
        <v>320.5</v>
      </c>
    </row>
    <row r="141" spans="1:12" s="161" customFormat="1" ht="54">
      <c r="A141" s="166" t="s">
        <v>208</v>
      </c>
      <c r="B141" s="182" t="s">
        <v>118</v>
      </c>
      <c r="C141" s="106" t="s">
        <v>100</v>
      </c>
      <c r="D141" s="106" t="s">
        <v>66</v>
      </c>
      <c r="E141" s="107" t="s">
        <v>209</v>
      </c>
      <c r="F141" s="107" t="s">
        <v>148</v>
      </c>
      <c r="G141" s="107" t="s">
        <v>149</v>
      </c>
      <c r="H141" s="107" t="s">
        <v>150</v>
      </c>
      <c r="I141" s="106"/>
      <c r="J141" s="109">
        <f>J142</f>
        <v>320</v>
      </c>
      <c r="K141" s="109">
        <f t="shared" si="27"/>
        <v>320.25</v>
      </c>
      <c r="L141" s="109">
        <f t="shared" si="27"/>
        <v>320.5</v>
      </c>
    </row>
    <row r="142" spans="1:12" s="161" customFormat="1" ht="18">
      <c r="A142" s="169" t="s">
        <v>101</v>
      </c>
      <c r="B142" s="182" t="s">
        <v>118</v>
      </c>
      <c r="C142" s="106" t="s">
        <v>100</v>
      </c>
      <c r="D142" s="106" t="s">
        <v>66</v>
      </c>
      <c r="E142" s="107" t="s">
        <v>209</v>
      </c>
      <c r="F142" s="107" t="s">
        <v>157</v>
      </c>
      <c r="G142" s="107" t="s">
        <v>149</v>
      </c>
      <c r="H142" s="107" t="s">
        <v>150</v>
      </c>
      <c r="I142" s="106"/>
      <c r="J142" s="109">
        <f>J143</f>
        <v>320</v>
      </c>
      <c r="K142" s="109">
        <f t="shared" si="27"/>
        <v>320.25</v>
      </c>
      <c r="L142" s="109">
        <f t="shared" si="27"/>
        <v>320.5</v>
      </c>
    </row>
    <row r="143" spans="1:12" s="161" customFormat="1" ht="36">
      <c r="A143" s="169" t="s">
        <v>102</v>
      </c>
      <c r="B143" s="182" t="s">
        <v>118</v>
      </c>
      <c r="C143" s="106" t="s">
        <v>100</v>
      </c>
      <c r="D143" s="106" t="s">
        <v>66</v>
      </c>
      <c r="E143" s="107" t="s">
        <v>209</v>
      </c>
      <c r="F143" s="107" t="s">
        <v>157</v>
      </c>
      <c r="G143" s="107" t="s">
        <v>149</v>
      </c>
      <c r="H143" s="107" t="s">
        <v>210</v>
      </c>
      <c r="I143" s="106"/>
      <c r="J143" s="109">
        <f>J144+J146</f>
        <v>320</v>
      </c>
      <c r="K143" s="109">
        <f>K144+K146</f>
        <v>320.25</v>
      </c>
      <c r="L143" s="109">
        <f>L144+L146</f>
        <v>320.5</v>
      </c>
    </row>
    <row r="144" spans="1:12" s="161" customFormat="1" ht="54">
      <c r="A144" s="104" t="s">
        <v>153</v>
      </c>
      <c r="B144" s="182" t="s">
        <v>118</v>
      </c>
      <c r="C144" s="106" t="s">
        <v>100</v>
      </c>
      <c r="D144" s="106" t="s">
        <v>66</v>
      </c>
      <c r="E144" s="107" t="s">
        <v>209</v>
      </c>
      <c r="F144" s="107" t="s">
        <v>157</v>
      </c>
      <c r="G144" s="107" t="s">
        <v>149</v>
      </c>
      <c r="H144" s="107" t="s">
        <v>210</v>
      </c>
      <c r="I144" s="106" t="s">
        <v>74</v>
      </c>
      <c r="J144" s="109">
        <f>J145</f>
        <v>10</v>
      </c>
      <c r="K144" s="109">
        <f>K145</f>
        <v>10.25</v>
      </c>
      <c r="L144" s="109">
        <f>L145</f>
        <v>10.5</v>
      </c>
    </row>
    <row r="145" spans="1:14" s="161" customFormat="1" ht="54">
      <c r="A145" s="104" t="s">
        <v>75</v>
      </c>
      <c r="B145" s="182" t="s">
        <v>118</v>
      </c>
      <c r="C145" s="106" t="s">
        <v>100</v>
      </c>
      <c r="D145" s="106" t="s">
        <v>66</v>
      </c>
      <c r="E145" s="107" t="s">
        <v>209</v>
      </c>
      <c r="F145" s="107" t="s">
        <v>157</v>
      </c>
      <c r="G145" s="107" t="s">
        <v>149</v>
      </c>
      <c r="H145" s="107" t="s">
        <v>210</v>
      </c>
      <c r="I145" s="106" t="s">
        <v>76</v>
      </c>
      <c r="J145" s="109">
        <f>10</f>
        <v>10</v>
      </c>
      <c r="K145" s="109">
        <f>J145*M145</f>
        <v>10.25</v>
      </c>
      <c r="L145" s="109">
        <f>J145*N145</f>
        <v>10.5</v>
      </c>
      <c r="M145" s="159">
        <v>1.025</v>
      </c>
      <c r="N145" s="160">
        <v>1.05</v>
      </c>
    </row>
    <row r="146" spans="1:12" s="161" customFormat="1" ht="36">
      <c r="A146" s="195" t="s">
        <v>128</v>
      </c>
      <c r="B146" s="182" t="s">
        <v>118</v>
      </c>
      <c r="C146" s="106" t="s">
        <v>100</v>
      </c>
      <c r="D146" s="106" t="s">
        <v>66</v>
      </c>
      <c r="E146" s="107" t="s">
        <v>209</v>
      </c>
      <c r="F146" s="107" t="s">
        <v>157</v>
      </c>
      <c r="G146" s="107" t="s">
        <v>149</v>
      </c>
      <c r="H146" s="107" t="s">
        <v>210</v>
      </c>
      <c r="I146" s="182" t="s">
        <v>104</v>
      </c>
      <c r="J146" s="109">
        <f>J147</f>
        <v>310</v>
      </c>
      <c r="K146" s="109">
        <f>K147</f>
        <v>310</v>
      </c>
      <c r="L146" s="109">
        <f>L147</f>
        <v>310</v>
      </c>
    </row>
    <row r="147" spans="1:14" s="161" customFormat="1" ht="36">
      <c r="A147" s="196" t="s">
        <v>103</v>
      </c>
      <c r="B147" s="182" t="s">
        <v>118</v>
      </c>
      <c r="C147" s="106" t="s">
        <v>100</v>
      </c>
      <c r="D147" s="106" t="s">
        <v>66</v>
      </c>
      <c r="E147" s="107" t="s">
        <v>209</v>
      </c>
      <c r="F147" s="107" t="s">
        <v>157</v>
      </c>
      <c r="G147" s="107" t="s">
        <v>149</v>
      </c>
      <c r="H147" s="107" t="s">
        <v>210</v>
      </c>
      <c r="I147" s="182" t="s">
        <v>105</v>
      </c>
      <c r="J147" s="109">
        <f>310</f>
        <v>310</v>
      </c>
      <c r="K147" s="109">
        <f>310</f>
        <v>310</v>
      </c>
      <c r="L147" s="109">
        <f>310</f>
        <v>310</v>
      </c>
      <c r="M147" s="159" t="s">
        <v>287</v>
      </c>
      <c r="N147" s="177" t="s">
        <v>287</v>
      </c>
    </row>
    <row r="148" spans="1:12" s="161" customFormat="1" ht="18">
      <c r="A148" s="162" t="s">
        <v>129</v>
      </c>
      <c r="B148" s="113" t="s">
        <v>118</v>
      </c>
      <c r="C148" s="158" t="s">
        <v>130</v>
      </c>
      <c r="D148" s="158"/>
      <c r="E148" s="158"/>
      <c r="F148" s="158"/>
      <c r="G148" s="158"/>
      <c r="H148" s="158"/>
      <c r="I148" s="158"/>
      <c r="J148" s="114">
        <f aca="true" t="shared" si="28" ref="J148:L153">J149</f>
        <v>70</v>
      </c>
      <c r="K148" s="114">
        <f t="shared" si="28"/>
        <v>71.75</v>
      </c>
      <c r="L148" s="114">
        <f t="shared" si="28"/>
        <v>73.5</v>
      </c>
    </row>
    <row r="149" spans="1:12" s="161" customFormat="1" ht="52.5">
      <c r="A149" s="162" t="s">
        <v>131</v>
      </c>
      <c r="B149" s="113" t="s">
        <v>118</v>
      </c>
      <c r="C149" s="158" t="s">
        <v>130</v>
      </c>
      <c r="D149" s="158" t="s">
        <v>88</v>
      </c>
      <c r="E149" s="158"/>
      <c r="F149" s="158"/>
      <c r="G149" s="158"/>
      <c r="H149" s="158"/>
      <c r="I149" s="158"/>
      <c r="J149" s="114">
        <f t="shared" si="28"/>
        <v>70</v>
      </c>
      <c r="K149" s="114">
        <f t="shared" si="28"/>
        <v>71.75</v>
      </c>
      <c r="L149" s="114">
        <f t="shared" si="28"/>
        <v>73.5</v>
      </c>
    </row>
    <row r="150" spans="1:12" s="161" customFormat="1" ht="36">
      <c r="A150" s="166" t="s">
        <v>211</v>
      </c>
      <c r="B150" s="182" t="s">
        <v>118</v>
      </c>
      <c r="C150" s="106" t="s">
        <v>130</v>
      </c>
      <c r="D150" s="106" t="s">
        <v>88</v>
      </c>
      <c r="E150" s="107" t="s">
        <v>212</v>
      </c>
      <c r="F150" s="107" t="s">
        <v>148</v>
      </c>
      <c r="G150" s="107" t="s">
        <v>149</v>
      </c>
      <c r="H150" s="107" t="s">
        <v>150</v>
      </c>
      <c r="I150" s="106"/>
      <c r="J150" s="109">
        <f t="shared" si="28"/>
        <v>70</v>
      </c>
      <c r="K150" s="109">
        <f t="shared" si="28"/>
        <v>71.75</v>
      </c>
      <c r="L150" s="109">
        <f t="shared" si="28"/>
        <v>73.5</v>
      </c>
    </row>
    <row r="151" spans="1:12" s="161" customFormat="1" ht="54">
      <c r="A151" s="169" t="s">
        <v>85</v>
      </c>
      <c r="B151" s="182" t="s">
        <v>118</v>
      </c>
      <c r="C151" s="106" t="s">
        <v>130</v>
      </c>
      <c r="D151" s="106" t="s">
        <v>88</v>
      </c>
      <c r="E151" s="107" t="s">
        <v>212</v>
      </c>
      <c r="F151" s="107" t="s">
        <v>62</v>
      </c>
      <c r="G151" s="107" t="s">
        <v>149</v>
      </c>
      <c r="H151" s="107" t="s">
        <v>150</v>
      </c>
      <c r="I151" s="106"/>
      <c r="J151" s="109">
        <f t="shared" si="28"/>
        <v>70</v>
      </c>
      <c r="K151" s="109">
        <f t="shared" si="28"/>
        <v>71.75</v>
      </c>
      <c r="L151" s="109">
        <f t="shared" si="28"/>
        <v>73.5</v>
      </c>
    </row>
    <row r="152" spans="1:12" s="161" customFormat="1" ht="54">
      <c r="A152" s="104" t="s">
        <v>213</v>
      </c>
      <c r="B152" s="182" t="s">
        <v>118</v>
      </c>
      <c r="C152" s="106" t="s">
        <v>130</v>
      </c>
      <c r="D152" s="106" t="s">
        <v>88</v>
      </c>
      <c r="E152" s="107" t="s">
        <v>212</v>
      </c>
      <c r="F152" s="107" t="s">
        <v>62</v>
      </c>
      <c r="G152" s="107" t="s">
        <v>149</v>
      </c>
      <c r="H152" s="107" t="s">
        <v>214</v>
      </c>
      <c r="I152" s="106"/>
      <c r="J152" s="109">
        <f t="shared" si="28"/>
        <v>70</v>
      </c>
      <c r="K152" s="109">
        <f t="shared" si="28"/>
        <v>71.75</v>
      </c>
      <c r="L152" s="109">
        <f t="shared" si="28"/>
        <v>73.5</v>
      </c>
    </row>
    <row r="153" spans="1:12" s="161" customFormat="1" ht="18">
      <c r="A153" s="104" t="s">
        <v>77</v>
      </c>
      <c r="B153" s="182" t="s">
        <v>118</v>
      </c>
      <c r="C153" s="106" t="s">
        <v>130</v>
      </c>
      <c r="D153" s="106" t="s">
        <v>88</v>
      </c>
      <c r="E153" s="107" t="s">
        <v>212</v>
      </c>
      <c r="F153" s="107" t="s">
        <v>62</v>
      </c>
      <c r="G153" s="107" t="s">
        <v>149</v>
      </c>
      <c r="H153" s="107" t="s">
        <v>214</v>
      </c>
      <c r="I153" s="192" t="s">
        <v>78</v>
      </c>
      <c r="J153" s="193">
        <f t="shared" si="28"/>
        <v>70</v>
      </c>
      <c r="K153" s="193">
        <f t="shared" si="28"/>
        <v>71.75</v>
      </c>
      <c r="L153" s="193">
        <f t="shared" si="28"/>
        <v>73.5</v>
      </c>
    </row>
    <row r="154" spans="1:14" s="161" customFormat="1" ht="72">
      <c r="A154" s="79" t="s">
        <v>96</v>
      </c>
      <c r="B154" s="182" t="s">
        <v>118</v>
      </c>
      <c r="C154" s="106" t="s">
        <v>130</v>
      </c>
      <c r="D154" s="106" t="s">
        <v>88</v>
      </c>
      <c r="E154" s="107" t="s">
        <v>212</v>
      </c>
      <c r="F154" s="107" t="s">
        <v>62</v>
      </c>
      <c r="G154" s="107" t="s">
        <v>149</v>
      </c>
      <c r="H154" s="107" t="s">
        <v>214</v>
      </c>
      <c r="I154" s="192" t="s">
        <v>97</v>
      </c>
      <c r="J154" s="193">
        <f>70</f>
        <v>70</v>
      </c>
      <c r="K154" s="193">
        <f>J154*M154</f>
        <v>71.75</v>
      </c>
      <c r="L154" s="193">
        <f>J154*N154</f>
        <v>73.5</v>
      </c>
      <c r="M154" s="159">
        <v>1.025</v>
      </c>
      <c r="N154" s="160">
        <v>1.05</v>
      </c>
    </row>
    <row r="155" spans="1:12" s="161" customFormat="1" ht="35.25">
      <c r="A155" s="165" t="s">
        <v>132</v>
      </c>
      <c r="B155" s="163" t="s">
        <v>118</v>
      </c>
      <c r="C155" s="158"/>
      <c r="D155" s="158"/>
      <c r="E155" s="112"/>
      <c r="F155" s="112"/>
      <c r="G155" s="112"/>
      <c r="H155" s="112"/>
      <c r="I155" s="158"/>
      <c r="J155" s="114">
        <f aca="true" t="shared" si="29" ref="J155:L161">J156</f>
        <v>561.2</v>
      </c>
      <c r="K155" s="114">
        <f t="shared" si="29"/>
        <v>561.2</v>
      </c>
      <c r="L155" s="114">
        <f t="shared" si="29"/>
        <v>561.2</v>
      </c>
    </row>
    <row r="156" spans="1:12" s="161" customFormat="1" ht="18">
      <c r="A156" s="162" t="s">
        <v>65</v>
      </c>
      <c r="B156" s="163" t="s">
        <v>118</v>
      </c>
      <c r="C156" s="158" t="s">
        <v>66</v>
      </c>
      <c r="D156" s="158"/>
      <c r="E156" s="112"/>
      <c r="F156" s="112"/>
      <c r="G156" s="112"/>
      <c r="H156" s="112"/>
      <c r="I156" s="158"/>
      <c r="J156" s="114">
        <f t="shared" si="29"/>
        <v>561.2</v>
      </c>
      <c r="K156" s="114">
        <f t="shared" si="29"/>
        <v>561.2</v>
      </c>
      <c r="L156" s="114">
        <f t="shared" si="29"/>
        <v>561.2</v>
      </c>
    </row>
    <row r="157" spans="1:12" s="161" customFormat="1" ht="35.25">
      <c r="A157" s="165" t="s">
        <v>83</v>
      </c>
      <c r="B157" s="163" t="s">
        <v>118</v>
      </c>
      <c r="C157" s="163" t="s">
        <v>66</v>
      </c>
      <c r="D157" s="163" t="s">
        <v>84</v>
      </c>
      <c r="E157" s="112"/>
      <c r="F157" s="112"/>
      <c r="G157" s="112"/>
      <c r="H157" s="112"/>
      <c r="I157" s="158"/>
      <c r="J157" s="114">
        <f t="shared" si="29"/>
        <v>561.2</v>
      </c>
      <c r="K157" s="114">
        <f t="shared" si="29"/>
        <v>561.2</v>
      </c>
      <c r="L157" s="114">
        <f t="shared" si="29"/>
        <v>561.2</v>
      </c>
    </row>
    <row r="158" spans="1:12" s="161" customFormat="1" ht="54">
      <c r="A158" s="169" t="s">
        <v>215</v>
      </c>
      <c r="B158" s="179" t="s">
        <v>118</v>
      </c>
      <c r="C158" s="197" t="s">
        <v>66</v>
      </c>
      <c r="D158" s="197" t="s">
        <v>84</v>
      </c>
      <c r="E158" s="107" t="s">
        <v>216</v>
      </c>
      <c r="F158" s="107" t="s">
        <v>148</v>
      </c>
      <c r="G158" s="107" t="s">
        <v>149</v>
      </c>
      <c r="H158" s="107" t="s">
        <v>150</v>
      </c>
      <c r="I158" s="197"/>
      <c r="J158" s="109">
        <f t="shared" si="29"/>
        <v>561.2</v>
      </c>
      <c r="K158" s="109">
        <f t="shared" si="29"/>
        <v>561.2</v>
      </c>
      <c r="L158" s="109">
        <f t="shared" si="29"/>
        <v>561.2</v>
      </c>
    </row>
    <row r="159" spans="1:12" s="161" customFormat="1" ht="90">
      <c r="A159" s="104" t="s">
        <v>217</v>
      </c>
      <c r="B159" s="179" t="s">
        <v>118</v>
      </c>
      <c r="C159" s="197" t="s">
        <v>66</v>
      </c>
      <c r="D159" s="197" t="s">
        <v>84</v>
      </c>
      <c r="E159" s="107" t="s">
        <v>216</v>
      </c>
      <c r="F159" s="107" t="s">
        <v>169</v>
      </c>
      <c r="G159" s="107" t="s">
        <v>149</v>
      </c>
      <c r="H159" s="107" t="s">
        <v>150</v>
      </c>
      <c r="I159" s="198"/>
      <c r="J159" s="109">
        <f t="shared" si="29"/>
        <v>561.2</v>
      </c>
      <c r="K159" s="109">
        <f t="shared" si="29"/>
        <v>561.2</v>
      </c>
      <c r="L159" s="109">
        <f t="shared" si="29"/>
        <v>561.2</v>
      </c>
    </row>
    <row r="160" spans="1:12" s="161" customFormat="1" ht="36">
      <c r="A160" s="104" t="s">
        <v>218</v>
      </c>
      <c r="B160" s="179" t="s">
        <v>118</v>
      </c>
      <c r="C160" s="197" t="s">
        <v>66</v>
      </c>
      <c r="D160" s="197" t="s">
        <v>84</v>
      </c>
      <c r="E160" s="107" t="s">
        <v>216</v>
      </c>
      <c r="F160" s="107" t="s">
        <v>169</v>
      </c>
      <c r="G160" s="107" t="s">
        <v>149</v>
      </c>
      <c r="H160" s="107" t="s">
        <v>219</v>
      </c>
      <c r="I160" s="198"/>
      <c r="J160" s="109">
        <f>J161+J163</f>
        <v>561.2</v>
      </c>
      <c r="K160" s="109">
        <f>K161+K163</f>
        <v>561.2</v>
      </c>
      <c r="L160" s="109">
        <f>L161+L163</f>
        <v>561.2</v>
      </c>
    </row>
    <row r="161" spans="1:12" s="161" customFormat="1" ht="123.75" customHeight="1">
      <c r="A161" s="104" t="s">
        <v>68</v>
      </c>
      <c r="B161" s="179" t="s">
        <v>118</v>
      </c>
      <c r="C161" s="197" t="s">
        <v>66</v>
      </c>
      <c r="D161" s="197" t="s">
        <v>84</v>
      </c>
      <c r="E161" s="107" t="s">
        <v>216</v>
      </c>
      <c r="F161" s="107" t="s">
        <v>169</v>
      </c>
      <c r="G161" s="107" t="s">
        <v>149</v>
      </c>
      <c r="H161" s="107" t="s">
        <v>219</v>
      </c>
      <c r="I161" s="182" t="s">
        <v>69</v>
      </c>
      <c r="J161" s="109">
        <f t="shared" si="29"/>
        <v>551.2</v>
      </c>
      <c r="K161" s="109">
        <f t="shared" si="29"/>
        <v>551.2</v>
      </c>
      <c r="L161" s="109">
        <f t="shared" si="29"/>
        <v>551.2</v>
      </c>
    </row>
    <row r="162" spans="1:14" s="161" customFormat="1" ht="36">
      <c r="A162" s="199" t="s">
        <v>133</v>
      </c>
      <c r="B162" s="179" t="s">
        <v>118</v>
      </c>
      <c r="C162" s="197" t="s">
        <v>66</v>
      </c>
      <c r="D162" s="197" t="s">
        <v>84</v>
      </c>
      <c r="E162" s="107" t="s">
        <v>216</v>
      </c>
      <c r="F162" s="107" t="s">
        <v>169</v>
      </c>
      <c r="G162" s="107" t="s">
        <v>149</v>
      </c>
      <c r="H162" s="107" t="s">
        <v>219</v>
      </c>
      <c r="I162" s="106" t="s">
        <v>134</v>
      </c>
      <c r="J162" s="109">
        <f>551.2</f>
        <v>551.2</v>
      </c>
      <c r="K162" s="109">
        <f>551.2</f>
        <v>551.2</v>
      </c>
      <c r="L162" s="109">
        <f>551.2</f>
        <v>551.2</v>
      </c>
      <c r="M162" s="159" t="s">
        <v>287</v>
      </c>
      <c r="N162" s="177" t="s">
        <v>287</v>
      </c>
    </row>
    <row r="163" spans="1:12" s="161" customFormat="1" ht="54">
      <c r="A163" s="199" t="s">
        <v>237</v>
      </c>
      <c r="B163" s="179" t="s">
        <v>118</v>
      </c>
      <c r="C163" s="197" t="s">
        <v>66</v>
      </c>
      <c r="D163" s="197" t="s">
        <v>84</v>
      </c>
      <c r="E163" s="107" t="s">
        <v>216</v>
      </c>
      <c r="F163" s="107" t="s">
        <v>169</v>
      </c>
      <c r="G163" s="107" t="s">
        <v>149</v>
      </c>
      <c r="H163" s="107" t="s">
        <v>219</v>
      </c>
      <c r="I163" s="106" t="s">
        <v>74</v>
      </c>
      <c r="J163" s="109">
        <f>J164</f>
        <v>10</v>
      </c>
      <c r="K163" s="109">
        <f>K164</f>
        <v>10</v>
      </c>
      <c r="L163" s="109">
        <f>L164</f>
        <v>10</v>
      </c>
    </row>
    <row r="164" spans="1:14" s="161" customFormat="1" ht="54">
      <c r="A164" s="199" t="s">
        <v>75</v>
      </c>
      <c r="B164" s="179" t="s">
        <v>118</v>
      </c>
      <c r="C164" s="197" t="s">
        <v>66</v>
      </c>
      <c r="D164" s="197" t="s">
        <v>84</v>
      </c>
      <c r="E164" s="107" t="s">
        <v>216</v>
      </c>
      <c r="F164" s="107" t="s">
        <v>169</v>
      </c>
      <c r="G164" s="107" t="s">
        <v>149</v>
      </c>
      <c r="H164" s="107" t="s">
        <v>219</v>
      </c>
      <c r="I164" s="106" t="s">
        <v>76</v>
      </c>
      <c r="J164" s="109">
        <f>10</f>
        <v>10</v>
      </c>
      <c r="K164" s="109">
        <f>10</f>
        <v>10</v>
      </c>
      <c r="L164" s="109">
        <f>10</f>
        <v>10</v>
      </c>
      <c r="M164" s="159" t="s">
        <v>287</v>
      </c>
      <c r="N164" s="177" t="s">
        <v>287</v>
      </c>
    </row>
    <row r="165" spans="1:12" s="161" customFormat="1" ht="52.5">
      <c r="A165" s="105" t="s">
        <v>135</v>
      </c>
      <c r="B165" s="110" t="s">
        <v>136</v>
      </c>
      <c r="C165" s="111"/>
      <c r="D165" s="111"/>
      <c r="E165" s="112"/>
      <c r="F165" s="112"/>
      <c r="G165" s="112"/>
      <c r="H165" s="112"/>
      <c r="I165" s="113"/>
      <c r="J165" s="114">
        <f>J166+J209</f>
        <v>30673.600000000006</v>
      </c>
      <c r="K165" s="114">
        <f>K166+K209</f>
        <v>30673.600000000006</v>
      </c>
      <c r="L165" s="114">
        <f>L166+L209</f>
        <v>30673.600000000006</v>
      </c>
    </row>
    <row r="166" spans="1:12" s="161" customFormat="1" ht="18">
      <c r="A166" s="105" t="s">
        <v>98</v>
      </c>
      <c r="B166" s="110" t="s">
        <v>136</v>
      </c>
      <c r="C166" s="110" t="s">
        <v>81</v>
      </c>
      <c r="D166" s="110"/>
      <c r="E166" s="110"/>
      <c r="F166" s="110"/>
      <c r="G166" s="110"/>
      <c r="H166" s="110"/>
      <c r="I166" s="110"/>
      <c r="J166" s="200">
        <f aca="true" t="shared" si="30" ref="J166:L167">J167</f>
        <v>3695.6000000000004</v>
      </c>
      <c r="K166" s="200">
        <f t="shared" si="30"/>
        <v>3695.6000000000004</v>
      </c>
      <c r="L166" s="200">
        <f t="shared" si="30"/>
        <v>3695.6000000000004</v>
      </c>
    </row>
    <row r="167" spans="1:12" s="161" customFormat="1" ht="35.25">
      <c r="A167" s="201" t="s">
        <v>269</v>
      </c>
      <c r="B167" s="110" t="s">
        <v>136</v>
      </c>
      <c r="C167" s="110" t="s">
        <v>81</v>
      </c>
      <c r="D167" s="110" t="s">
        <v>89</v>
      </c>
      <c r="E167" s="110"/>
      <c r="F167" s="110"/>
      <c r="G167" s="110"/>
      <c r="H167" s="110"/>
      <c r="I167" s="110"/>
      <c r="J167" s="200">
        <f t="shared" si="30"/>
        <v>3695.6000000000004</v>
      </c>
      <c r="K167" s="200">
        <f t="shared" si="30"/>
        <v>3695.6000000000004</v>
      </c>
      <c r="L167" s="200">
        <f t="shared" si="30"/>
        <v>3695.6000000000004</v>
      </c>
    </row>
    <row r="168" spans="1:12" s="161" customFormat="1" ht="87">
      <c r="A168" s="185" t="s">
        <v>270</v>
      </c>
      <c r="B168" s="110" t="s">
        <v>136</v>
      </c>
      <c r="C168" s="110" t="s">
        <v>81</v>
      </c>
      <c r="D168" s="110" t="s">
        <v>89</v>
      </c>
      <c r="E168" s="186" t="s">
        <v>271</v>
      </c>
      <c r="F168" s="186" t="s">
        <v>148</v>
      </c>
      <c r="G168" s="186" t="s">
        <v>149</v>
      </c>
      <c r="H168" s="186" t="s">
        <v>150</v>
      </c>
      <c r="I168" s="110"/>
      <c r="J168" s="200">
        <f>J169+J201</f>
        <v>3695.6000000000004</v>
      </c>
      <c r="K168" s="200">
        <f>K169+K201</f>
        <v>3695.6000000000004</v>
      </c>
      <c r="L168" s="200">
        <f>L169+L201</f>
        <v>3695.6000000000004</v>
      </c>
    </row>
    <row r="169" spans="1:12" s="161" customFormat="1" ht="90">
      <c r="A169" s="202" t="s">
        <v>272</v>
      </c>
      <c r="B169" s="203" t="s">
        <v>136</v>
      </c>
      <c r="C169" s="203" t="s">
        <v>81</v>
      </c>
      <c r="D169" s="203" t="s">
        <v>89</v>
      </c>
      <c r="E169" s="184" t="s">
        <v>271</v>
      </c>
      <c r="F169" s="184" t="s">
        <v>163</v>
      </c>
      <c r="G169" s="184" t="s">
        <v>149</v>
      </c>
      <c r="H169" s="184" t="s">
        <v>150</v>
      </c>
      <c r="I169" s="203"/>
      <c r="J169" s="204">
        <f>J170+J180+J187+J194</f>
        <v>3595.6000000000004</v>
      </c>
      <c r="K169" s="204">
        <f>K170+K180+K187+K194</f>
        <v>3595.6000000000004</v>
      </c>
      <c r="L169" s="204">
        <f>L170+L180+L187+L194</f>
        <v>3595.6000000000004</v>
      </c>
    </row>
    <row r="170" spans="1:12" s="161" customFormat="1" ht="90">
      <c r="A170" s="183" t="s">
        <v>273</v>
      </c>
      <c r="B170" s="203" t="s">
        <v>136</v>
      </c>
      <c r="C170" s="203" t="s">
        <v>81</v>
      </c>
      <c r="D170" s="203" t="s">
        <v>89</v>
      </c>
      <c r="E170" s="184" t="s">
        <v>271</v>
      </c>
      <c r="F170" s="184" t="s">
        <v>163</v>
      </c>
      <c r="G170" s="184" t="s">
        <v>66</v>
      </c>
      <c r="H170" s="184" t="s">
        <v>150</v>
      </c>
      <c r="I170" s="203"/>
      <c r="J170" s="204">
        <f>J171+J174+J177</f>
        <v>1053.8</v>
      </c>
      <c r="K170" s="204">
        <f>K171+K174+K177</f>
        <v>1053.8</v>
      </c>
      <c r="L170" s="204">
        <f>L171+L174+L177</f>
        <v>1053.8</v>
      </c>
    </row>
    <row r="171" spans="1:12" s="161" customFormat="1" ht="72">
      <c r="A171" s="79" t="s">
        <v>220</v>
      </c>
      <c r="B171" s="203" t="s">
        <v>136</v>
      </c>
      <c r="C171" s="203" t="s">
        <v>81</v>
      </c>
      <c r="D171" s="203" t="s">
        <v>89</v>
      </c>
      <c r="E171" s="184" t="s">
        <v>271</v>
      </c>
      <c r="F171" s="184" t="s">
        <v>163</v>
      </c>
      <c r="G171" s="184" t="s">
        <v>66</v>
      </c>
      <c r="H171" s="107" t="s">
        <v>221</v>
      </c>
      <c r="I171" s="203"/>
      <c r="J171" s="204">
        <f aca="true" t="shared" si="31" ref="J171:L172">J172</f>
        <v>1053.8</v>
      </c>
      <c r="K171" s="204">
        <f t="shared" si="31"/>
        <v>1053.8</v>
      </c>
      <c r="L171" s="204">
        <f t="shared" si="31"/>
        <v>1053.8</v>
      </c>
    </row>
    <row r="172" spans="1:12" s="161" customFormat="1" ht="54">
      <c r="A172" s="104" t="s">
        <v>86</v>
      </c>
      <c r="B172" s="203" t="s">
        <v>136</v>
      </c>
      <c r="C172" s="203" t="s">
        <v>81</v>
      </c>
      <c r="D172" s="203" t="s">
        <v>89</v>
      </c>
      <c r="E172" s="184" t="s">
        <v>271</v>
      </c>
      <c r="F172" s="184" t="s">
        <v>163</v>
      </c>
      <c r="G172" s="184" t="s">
        <v>66</v>
      </c>
      <c r="H172" s="107" t="s">
        <v>221</v>
      </c>
      <c r="I172" s="203" t="s">
        <v>87</v>
      </c>
      <c r="J172" s="204">
        <f t="shared" si="31"/>
        <v>1053.8</v>
      </c>
      <c r="K172" s="204">
        <f t="shared" si="31"/>
        <v>1053.8</v>
      </c>
      <c r="L172" s="204">
        <f t="shared" si="31"/>
        <v>1053.8</v>
      </c>
    </row>
    <row r="173" spans="1:14" s="161" customFormat="1" ht="18">
      <c r="A173" s="104" t="s">
        <v>137</v>
      </c>
      <c r="B173" s="203" t="s">
        <v>136</v>
      </c>
      <c r="C173" s="203" t="s">
        <v>81</v>
      </c>
      <c r="D173" s="203" t="s">
        <v>89</v>
      </c>
      <c r="E173" s="184" t="s">
        <v>271</v>
      </c>
      <c r="F173" s="184" t="s">
        <v>163</v>
      </c>
      <c r="G173" s="184" t="s">
        <v>66</v>
      </c>
      <c r="H173" s="107" t="s">
        <v>221</v>
      </c>
      <c r="I173" s="203" t="s">
        <v>138</v>
      </c>
      <c r="J173" s="204">
        <f>(1045+5+3.8)</f>
        <v>1053.8</v>
      </c>
      <c r="K173" s="204">
        <f>(1045+5+3.8)</f>
        <v>1053.8</v>
      </c>
      <c r="L173" s="204">
        <f>(1045+5+3.8)</f>
        <v>1053.8</v>
      </c>
      <c r="M173" s="159" t="s">
        <v>287</v>
      </c>
      <c r="N173" s="177" t="s">
        <v>287</v>
      </c>
    </row>
    <row r="174" spans="1:12" s="161" customFormat="1" ht="72" hidden="1">
      <c r="A174" s="79" t="s">
        <v>222</v>
      </c>
      <c r="B174" s="203" t="s">
        <v>136</v>
      </c>
      <c r="C174" s="203" t="s">
        <v>81</v>
      </c>
      <c r="D174" s="203" t="s">
        <v>89</v>
      </c>
      <c r="E174" s="184" t="s">
        <v>271</v>
      </c>
      <c r="F174" s="184" t="s">
        <v>163</v>
      </c>
      <c r="G174" s="184" t="s">
        <v>66</v>
      </c>
      <c r="H174" s="107" t="s">
        <v>223</v>
      </c>
      <c r="I174" s="203"/>
      <c r="J174" s="204">
        <f aca="true" t="shared" si="32" ref="J174:L175">J175</f>
        <v>0</v>
      </c>
      <c r="K174" s="204">
        <f t="shared" si="32"/>
        <v>0</v>
      </c>
      <c r="L174" s="204">
        <f t="shared" si="32"/>
        <v>0</v>
      </c>
    </row>
    <row r="175" spans="1:12" s="161" customFormat="1" ht="54" hidden="1">
      <c r="A175" s="104" t="s">
        <v>86</v>
      </c>
      <c r="B175" s="203" t="s">
        <v>136</v>
      </c>
      <c r="C175" s="203" t="s">
        <v>81</v>
      </c>
      <c r="D175" s="203" t="s">
        <v>89</v>
      </c>
      <c r="E175" s="184" t="s">
        <v>271</v>
      </c>
      <c r="F175" s="184" t="s">
        <v>163</v>
      </c>
      <c r="G175" s="184" t="s">
        <v>66</v>
      </c>
      <c r="H175" s="107" t="s">
        <v>223</v>
      </c>
      <c r="I175" s="203" t="s">
        <v>87</v>
      </c>
      <c r="J175" s="204">
        <f t="shared" si="32"/>
        <v>0</v>
      </c>
      <c r="K175" s="204">
        <f t="shared" si="32"/>
        <v>0</v>
      </c>
      <c r="L175" s="204">
        <f t="shared" si="32"/>
        <v>0</v>
      </c>
    </row>
    <row r="176" spans="1:14" s="161" customFormat="1" ht="18" hidden="1">
      <c r="A176" s="104" t="s">
        <v>137</v>
      </c>
      <c r="B176" s="203" t="s">
        <v>136</v>
      </c>
      <c r="C176" s="203" t="s">
        <v>81</v>
      </c>
      <c r="D176" s="203" t="s">
        <v>89</v>
      </c>
      <c r="E176" s="184" t="s">
        <v>271</v>
      </c>
      <c r="F176" s="184" t="s">
        <v>163</v>
      </c>
      <c r="G176" s="184" t="s">
        <v>66</v>
      </c>
      <c r="H176" s="107" t="s">
        <v>223</v>
      </c>
      <c r="I176" s="203" t="s">
        <v>138</v>
      </c>
      <c r="J176" s="204">
        <f>(5-5)</f>
        <v>0</v>
      </c>
      <c r="K176" s="204">
        <f>(5-5)</f>
        <v>0</v>
      </c>
      <c r="L176" s="204">
        <f>(5-5)</f>
        <v>0</v>
      </c>
      <c r="M176" s="159" t="s">
        <v>287</v>
      </c>
      <c r="N176" s="177" t="s">
        <v>287</v>
      </c>
    </row>
    <row r="177" spans="1:12" s="161" customFormat="1" ht="54" hidden="1">
      <c r="A177" s="79" t="s">
        <v>274</v>
      </c>
      <c r="B177" s="203" t="s">
        <v>136</v>
      </c>
      <c r="C177" s="203" t="s">
        <v>81</v>
      </c>
      <c r="D177" s="203" t="s">
        <v>89</v>
      </c>
      <c r="E177" s="184" t="s">
        <v>271</v>
      </c>
      <c r="F177" s="184" t="s">
        <v>163</v>
      </c>
      <c r="G177" s="184" t="s">
        <v>66</v>
      </c>
      <c r="H177" s="107" t="s">
        <v>275</v>
      </c>
      <c r="I177" s="203"/>
      <c r="J177" s="204">
        <f aca="true" t="shared" si="33" ref="J177:L178">J178</f>
        <v>0</v>
      </c>
      <c r="K177" s="204">
        <f t="shared" si="33"/>
        <v>0</v>
      </c>
      <c r="L177" s="204">
        <f t="shared" si="33"/>
        <v>0</v>
      </c>
    </row>
    <row r="178" spans="1:12" s="161" customFormat="1" ht="54" hidden="1">
      <c r="A178" s="104" t="s">
        <v>86</v>
      </c>
      <c r="B178" s="203" t="s">
        <v>136</v>
      </c>
      <c r="C178" s="203" t="s">
        <v>81</v>
      </c>
      <c r="D178" s="203" t="s">
        <v>89</v>
      </c>
      <c r="E178" s="184" t="s">
        <v>271</v>
      </c>
      <c r="F178" s="184" t="s">
        <v>163</v>
      </c>
      <c r="G178" s="184" t="s">
        <v>66</v>
      </c>
      <c r="H178" s="107" t="s">
        <v>275</v>
      </c>
      <c r="I178" s="203" t="s">
        <v>87</v>
      </c>
      <c r="J178" s="204">
        <f t="shared" si="33"/>
        <v>0</v>
      </c>
      <c r="K178" s="204">
        <f t="shared" si="33"/>
        <v>0</v>
      </c>
      <c r="L178" s="204">
        <f t="shared" si="33"/>
        <v>0</v>
      </c>
    </row>
    <row r="179" spans="1:14" s="161" customFormat="1" ht="18" hidden="1">
      <c r="A179" s="104" t="s">
        <v>137</v>
      </c>
      <c r="B179" s="203" t="s">
        <v>136</v>
      </c>
      <c r="C179" s="203" t="s">
        <v>81</v>
      </c>
      <c r="D179" s="203" t="s">
        <v>89</v>
      </c>
      <c r="E179" s="184" t="s">
        <v>271</v>
      </c>
      <c r="F179" s="184" t="s">
        <v>163</v>
      </c>
      <c r="G179" s="184" t="s">
        <v>66</v>
      </c>
      <c r="H179" s="107" t="s">
        <v>275</v>
      </c>
      <c r="I179" s="203" t="s">
        <v>138</v>
      </c>
      <c r="J179" s="204">
        <f>(3.8-3.8)</f>
        <v>0</v>
      </c>
      <c r="K179" s="204">
        <f>(3.8-3.8)</f>
        <v>0</v>
      </c>
      <c r="L179" s="204">
        <f>(3.8-3.8)</f>
        <v>0</v>
      </c>
      <c r="M179" s="159" t="s">
        <v>287</v>
      </c>
      <c r="N179" s="177" t="s">
        <v>287</v>
      </c>
    </row>
    <row r="180" spans="1:12" s="161" customFormat="1" ht="54">
      <c r="A180" s="183" t="s">
        <v>276</v>
      </c>
      <c r="B180" s="203" t="s">
        <v>136</v>
      </c>
      <c r="C180" s="203" t="s">
        <v>81</v>
      </c>
      <c r="D180" s="203" t="s">
        <v>89</v>
      </c>
      <c r="E180" s="184" t="s">
        <v>271</v>
      </c>
      <c r="F180" s="184" t="s">
        <v>163</v>
      </c>
      <c r="G180" s="184" t="s">
        <v>88</v>
      </c>
      <c r="H180" s="184" t="s">
        <v>150</v>
      </c>
      <c r="I180" s="203"/>
      <c r="J180" s="204">
        <f>J181+J184</f>
        <v>1045</v>
      </c>
      <c r="K180" s="204">
        <f>K181+K184</f>
        <v>1045</v>
      </c>
      <c r="L180" s="204">
        <f>L181+L184</f>
        <v>1045</v>
      </c>
    </row>
    <row r="181" spans="1:12" s="161" customFormat="1" ht="72">
      <c r="A181" s="79" t="s">
        <v>220</v>
      </c>
      <c r="B181" s="203" t="s">
        <v>136</v>
      </c>
      <c r="C181" s="203" t="s">
        <v>81</v>
      </c>
      <c r="D181" s="203" t="s">
        <v>89</v>
      </c>
      <c r="E181" s="184" t="s">
        <v>271</v>
      </c>
      <c r="F181" s="184" t="s">
        <v>163</v>
      </c>
      <c r="G181" s="184" t="s">
        <v>88</v>
      </c>
      <c r="H181" s="107" t="s">
        <v>221</v>
      </c>
      <c r="I181" s="203"/>
      <c r="J181" s="204">
        <f aca="true" t="shared" si="34" ref="J181:L182">J182</f>
        <v>1045</v>
      </c>
      <c r="K181" s="204">
        <f t="shared" si="34"/>
        <v>1045</v>
      </c>
      <c r="L181" s="204">
        <f t="shared" si="34"/>
        <v>1045</v>
      </c>
    </row>
    <row r="182" spans="1:12" s="161" customFormat="1" ht="54">
      <c r="A182" s="104" t="s">
        <v>86</v>
      </c>
      <c r="B182" s="203" t="s">
        <v>136</v>
      </c>
      <c r="C182" s="203" t="s">
        <v>81</v>
      </c>
      <c r="D182" s="203" t="s">
        <v>89</v>
      </c>
      <c r="E182" s="184" t="s">
        <v>271</v>
      </c>
      <c r="F182" s="184" t="s">
        <v>163</v>
      </c>
      <c r="G182" s="184" t="s">
        <v>88</v>
      </c>
      <c r="H182" s="107" t="s">
        <v>221</v>
      </c>
      <c r="I182" s="203" t="s">
        <v>87</v>
      </c>
      <c r="J182" s="204">
        <f t="shared" si="34"/>
        <v>1045</v>
      </c>
      <c r="K182" s="204">
        <f t="shared" si="34"/>
        <v>1045</v>
      </c>
      <c r="L182" s="204">
        <f t="shared" si="34"/>
        <v>1045</v>
      </c>
    </row>
    <row r="183" spans="1:14" s="161" customFormat="1" ht="18">
      <c r="A183" s="104" t="s">
        <v>137</v>
      </c>
      <c r="B183" s="203" t="s">
        <v>136</v>
      </c>
      <c r="C183" s="203" t="s">
        <v>81</v>
      </c>
      <c r="D183" s="203" t="s">
        <v>89</v>
      </c>
      <c r="E183" s="184" t="s">
        <v>271</v>
      </c>
      <c r="F183" s="184" t="s">
        <v>163</v>
      </c>
      <c r="G183" s="184" t="s">
        <v>88</v>
      </c>
      <c r="H183" s="107" t="s">
        <v>221</v>
      </c>
      <c r="I183" s="203" t="s">
        <v>138</v>
      </c>
      <c r="J183" s="204">
        <f>1045</f>
        <v>1045</v>
      </c>
      <c r="K183" s="204">
        <f>1045</f>
        <v>1045</v>
      </c>
      <c r="L183" s="204">
        <f>1045</f>
        <v>1045</v>
      </c>
      <c r="M183" s="159" t="s">
        <v>287</v>
      </c>
      <c r="N183" s="177" t="s">
        <v>287</v>
      </c>
    </row>
    <row r="184" spans="1:12" s="161" customFormat="1" ht="54" hidden="1">
      <c r="A184" s="79" t="s">
        <v>274</v>
      </c>
      <c r="B184" s="203" t="s">
        <v>136</v>
      </c>
      <c r="C184" s="203" t="s">
        <v>81</v>
      </c>
      <c r="D184" s="203" t="s">
        <v>89</v>
      </c>
      <c r="E184" s="184" t="s">
        <v>271</v>
      </c>
      <c r="F184" s="184" t="s">
        <v>163</v>
      </c>
      <c r="G184" s="184" t="s">
        <v>88</v>
      </c>
      <c r="H184" s="107" t="s">
        <v>275</v>
      </c>
      <c r="I184" s="203"/>
      <c r="J184" s="204">
        <f aca="true" t="shared" si="35" ref="J184:L185">J185</f>
        <v>0</v>
      </c>
      <c r="K184" s="204">
        <f t="shared" si="35"/>
        <v>0</v>
      </c>
      <c r="L184" s="204">
        <f t="shared" si="35"/>
        <v>0</v>
      </c>
    </row>
    <row r="185" spans="1:12" s="161" customFormat="1" ht="54" hidden="1">
      <c r="A185" s="104" t="s">
        <v>86</v>
      </c>
      <c r="B185" s="203" t="s">
        <v>136</v>
      </c>
      <c r="C185" s="203" t="s">
        <v>81</v>
      </c>
      <c r="D185" s="203" t="s">
        <v>89</v>
      </c>
      <c r="E185" s="184" t="s">
        <v>271</v>
      </c>
      <c r="F185" s="184" t="s">
        <v>163</v>
      </c>
      <c r="G185" s="184" t="s">
        <v>88</v>
      </c>
      <c r="H185" s="107" t="s">
        <v>275</v>
      </c>
      <c r="I185" s="203" t="s">
        <v>87</v>
      </c>
      <c r="J185" s="204">
        <f t="shared" si="35"/>
        <v>0</v>
      </c>
      <c r="K185" s="204">
        <f t="shared" si="35"/>
        <v>0</v>
      </c>
      <c r="L185" s="204">
        <f t="shared" si="35"/>
        <v>0</v>
      </c>
    </row>
    <row r="186" spans="1:14" s="161" customFormat="1" ht="18" hidden="1">
      <c r="A186" s="104" t="s">
        <v>137</v>
      </c>
      <c r="B186" s="203" t="s">
        <v>136</v>
      </c>
      <c r="C186" s="203" t="s">
        <v>81</v>
      </c>
      <c r="D186" s="203" t="s">
        <v>89</v>
      </c>
      <c r="E186" s="184" t="s">
        <v>271</v>
      </c>
      <c r="F186" s="184" t="s">
        <v>163</v>
      </c>
      <c r="G186" s="184" t="s">
        <v>88</v>
      </c>
      <c r="H186" s="107" t="s">
        <v>275</v>
      </c>
      <c r="I186" s="203" t="s">
        <v>138</v>
      </c>
      <c r="J186" s="204">
        <f>0</f>
        <v>0</v>
      </c>
      <c r="K186" s="204">
        <f>0</f>
        <v>0</v>
      </c>
      <c r="L186" s="204">
        <f>0</f>
        <v>0</v>
      </c>
      <c r="M186" s="159" t="s">
        <v>287</v>
      </c>
      <c r="N186" s="177" t="s">
        <v>287</v>
      </c>
    </row>
    <row r="187" spans="1:12" s="161" customFormat="1" ht="54">
      <c r="A187" s="183" t="s">
        <v>277</v>
      </c>
      <c r="B187" s="203" t="s">
        <v>136</v>
      </c>
      <c r="C187" s="203" t="s">
        <v>81</v>
      </c>
      <c r="D187" s="203" t="s">
        <v>89</v>
      </c>
      <c r="E187" s="184" t="s">
        <v>271</v>
      </c>
      <c r="F187" s="184" t="s">
        <v>163</v>
      </c>
      <c r="G187" s="184" t="s">
        <v>89</v>
      </c>
      <c r="H187" s="184" t="s">
        <v>150</v>
      </c>
      <c r="I187" s="203"/>
      <c r="J187" s="204">
        <f>J188+J191</f>
        <v>1045</v>
      </c>
      <c r="K187" s="204">
        <f>K188+K191</f>
        <v>1045</v>
      </c>
      <c r="L187" s="204">
        <f>L188+L191</f>
        <v>1045</v>
      </c>
    </row>
    <row r="188" spans="1:12" s="161" customFormat="1" ht="72">
      <c r="A188" s="79" t="s">
        <v>220</v>
      </c>
      <c r="B188" s="203" t="s">
        <v>136</v>
      </c>
      <c r="C188" s="203" t="s">
        <v>81</v>
      </c>
      <c r="D188" s="203" t="s">
        <v>89</v>
      </c>
      <c r="E188" s="184" t="s">
        <v>271</v>
      </c>
      <c r="F188" s="184" t="s">
        <v>163</v>
      </c>
      <c r="G188" s="184" t="s">
        <v>89</v>
      </c>
      <c r="H188" s="107" t="s">
        <v>221</v>
      </c>
      <c r="I188" s="203"/>
      <c r="J188" s="204">
        <f aca="true" t="shared" si="36" ref="J188:L189">J189</f>
        <v>1045</v>
      </c>
      <c r="K188" s="204">
        <f t="shared" si="36"/>
        <v>1045</v>
      </c>
      <c r="L188" s="204">
        <f t="shared" si="36"/>
        <v>1045</v>
      </c>
    </row>
    <row r="189" spans="1:12" s="161" customFormat="1" ht="54">
      <c r="A189" s="104" t="s">
        <v>86</v>
      </c>
      <c r="B189" s="203" t="s">
        <v>136</v>
      </c>
      <c r="C189" s="203" t="s">
        <v>81</v>
      </c>
      <c r="D189" s="203" t="s">
        <v>89</v>
      </c>
      <c r="E189" s="184" t="s">
        <v>271</v>
      </c>
      <c r="F189" s="184" t="s">
        <v>163</v>
      </c>
      <c r="G189" s="184" t="s">
        <v>89</v>
      </c>
      <c r="H189" s="107" t="s">
        <v>221</v>
      </c>
      <c r="I189" s="203" t="s">
        <v>87</v>
      </c>
      <c r="J189" s="204">
        <f t="shared" si="36"/>
        <v>1045</v>
      </c>
      <c r="K189" s="204">
        <f t="shared" si="36"/>
        <v>1045</v>
      </c>
      <c r="L189" s="204">
        <f t="shared" si="36"/>
        <v>1045</v>
      </c>
    </row>
    <row r="190" spans="1:14" s="161" customFormat="1" ht="18">
      <c r="A190" s="104" t="s">
        <v>137</v>
      </c>
      <c r="B190" s="203" t="s">
        <v>136</v>
      </c>
      <c r="C190" s="203" t="s">
        <v>81</v>
      </c>
      <c r="D190" s="203" t="s">
        <v>89</v>
      </c>
      <c r="E190" s="184" t="s">
        <v>271</v>
      </c>
      <c r="F190" s="184" t="s">
        <v>163</v>
      </c>
      <c r="G190" s="184" t="s">
        <v>89</v>
      </c>
      <c r="H190" s="107" t="s">
        <v>221</v>
      </c>
      <c r="I190" s="203" t="s">
        <v>138</v>
      </c>
      <c r="J190" s="204">
        <f>1045</f>
        <v>1045</v>
      </c>
      <c r="K190" s="204">
        <f>1045</f>
        <v>1045</v>
      </c>
      <c r="L190" s="204">
        <f>1045</f>
        <v>1045</v>
      </c>
      <c r="M190" s="159" t="s">
        <v>287</v>
      </c>
      <c r="N190" s="177" t="s">
        <v>287</v>
      </c>
    </row>
    <row r="191" spans="1:12" s="161" customFormat="1" ht="54" hidden="1">
      <c r="A191" s="79" t="s">
        <v>274</v>
      </c>
      <c r="B191" s="203" t="s">
        <v>136</v>
      </c>
      <c r="C191" s="203" t="s">
        <v>81</v>
      </c>
      <c r="D191" s="203" t="s">
        <v>89</v>
      </c>
      <c r="E191" s="184" t="s">
        <v>271</v>
      </c>
      <c r="F191" s="184" t="s">
        <v>163</v>
      </c>
      <c r="G191" s="184" t="s">
        <v>89</v>
      </c>
      <c r="H191" s="107" t="s">
        <v>275</v>
      </c>
      <c r="I191" s="203"/>
      <c r="J191" s="204">
        <f aca="true" t="shared" si="37" ref="J191:L192">J192</f>
        <v>0</v>
      </c>
      <c r="K191" s="204">
        <f t="shared" si="37"/>
        <v>0</v>
      </c>
      <c r="L191" s="204">
        <f t="shared" si="37"/>
        <v>0</v>
      </c>
    </row>
    <row r="192" spans="1:12" s="161" customFormat="1" ht="54" hidden="1">
      <c r="A192" s="104" t="s">
        <v>86</v>
      </c>
      <c r="B192" s="203" t="s">
        <v>136</v>
      </c>
      <c r="C192" s="203" t="s">
        <v>81</v>
      </c>
      <c r="D192" s="203" t="s">
        <v>89</v>
      </c>
      <c r="E192" s="184" t="s">
        <v>271</v>
      </c>
      <c r="F192" s="184" t="s">
        <v>163</v>
      </c>
      <c r="G192" s="184" t="s">
        <v>89</v>
      </c>
      <c r="H192" s="107" t="s">
        <v>275</v>
      </c>
      <c r="I192" s="203" t="s">
        <v>87</v>
      </c>
      <c r="J192" s="204">
        <f t="shared" si="37"/>
        <v>0</v>
      </c>
      <c r="K192" s="204">
        <f t="shared" si="37"/>
        <v>0</v>
      </c>
      <c r="L192" s="204">
        <f t="shared" si="37"/>
        <v>0</v>
      </c>
    </row>
    <row r="193" spans="1:14" s="161" customFormat="1" ht="18" hidden="1">
      <c r="A193" s="104" t="s">
        <v>137</v>
      </c>
      <c r="B193" s="203" t="s">
        <v>136</v>
      </c>
      <c r="C193" s="203" t="s">
        <v>81</v>
      </c>
      <c r="D193" s="203" t="s">
        <v>89</v>
      </c>
      <c r="E193" s="184" t="s">
        <v>271</v>
      </c>
      <c r="F193" s="184" t="s">
        <v>163</v>
      </c>
      <c r="G193" s="184" t="s">
        <v>89</v>
      </c>
      <c r="H193" s="107" t="s">
        <v>275</v>
      </c>
      <c r="I193" s="203" t="s">
        <v>138</v>
      </c>
      <c r="J193" s="204">
        <f>0</f>
        <v>0</v>
      </c>
      <c r="K193" s="204">
        <f>0</f>
        <v>0</v>
      </c>
      <c r="L193" s="204">
        <f>0</f>
        <v>0</v>
      </c>
      <c r="M193" s="159" t="s">
        <v>287</v>
      </c>
      <c r="N193" s="177" t="s">
        <v>287</v>
      </c>
    </row>
    <row r="194" spans="1:12" s="161" customFormat="1" ht="54">
      <c r="A194" s="183" t="s">
        <v>278</v>
      </c>
      <c r="B194" s="203" t="s">
        <v>136</v>
      </c>
      <c r="C194" s="203" t="s">
        <v>81</v>
      </c>
      <c r="D194" s="203" t="s">
        <v>89</v>
      </c>
      <c r="E194" s="184" t="s">
        <v>271</v>
      </c>
      <c r="F194" s="184" t="s">
        <v>163</v>
      </c>
      <c r="G194" s="184" t="s">
        <v>67</v>
      </c>
      <c r="H194" s="184" t="s">
        <v>150</v>
      </c>
      <c r="I194" s="203"/>
      <c r="J194" s="204">
        <f>J195+J198</f>
        <v>451.8</v>
      </c>
      <c r="K194" s="204">
        <f>K195+K198</f>
        <v>451.8</v>
      </c>
      <c r="L194" s="204">
        <f>L195+L198</f>
        <v>451.8</v>
      </c>
    </row>
    <row r="195" spans="1:12" s="161" customFormat="1" ht="72">
      <c r="A195" s="79" t="s">
        <v>220</v>
      </c>
      <c r="B195" s="203" t="s">
        <v>136</v>
      </c>
      <c r="C195" s="203" t="s">
        <v>81</v>
      </c>
      <c r="D195" s="203" t="s">
        <v>89</v>
      </c>
      <c r="E195" s="184" t="s">
        <v>271</v>
      </c>
      <c r="F195" s="184" t="s">
        <v>163</v>
      </c>
      <c r="G195" s="184" t="s">
        <v>67</v>
      </c>
      <c r="H195" s="107" t="s">
        <v>221</v>
      </c>
      <c r="I195" s="203"/>
      <c r="J195" s="204">
        <f aca="true" t="shared" si="38" ref="J195:L196">J196</f>
        <v>451.8</v>
      </c>
      <c r="K195" s="204">
        <f t="shared" si="38"/>
        <v>451.8</v>
      </c>
      <c r="L195" s="204">
        <f t="shared" si="38"/>
        <v>451.8</v>
      </c>
    </row>
    <row r="196" spans="1:12" s="161" customFormat="1" ht="54">
      <c r="A196" s="104" t="s">
        <v>86</v>
      </c>
      <c r="B196" s="203" t="s">
        <v>136</v>
      </c>
      <c r="C196" s="203" t="s">
        <v>81</v>
      </c>
      <c r="D196" s="203" t="s">
        <v>89</v>
      </c>
      <c r="E196" s="184" t="s">
        <v>271</v>
      </c>
      <c r="F196" s="184" t="s">
        <v>163</v>
      </c>
      <c r="G196" s="184" t="s">
        <v>67</v>
      </c>
      <c r="H196" s="107" t="s">
        <v>221</v>
      </c>
      <c r="I196" s="203" t="s">
        <v>87</v>
      </c>
      <c r="J196" s="204">
        <f t="shared" si="38"/>
        <v>451.8</v>
      </c>
      <c r="K196" s="204">
        <f t="shared" si="38"/>
        <v>451.8</v>
      </c>
      <c r="L196" s="204">
        <f t="shared" si="38"/>
        <v>451.8</v>
      </c>
    </row>
    <row r="197" spans="1:14" s="161" customFormat="1" ht="18">
      <c r="A197" s="104" t="s">
        <v>137</v>
      </c>
      <c r="B197" s="203" t="s">
        <v>136</v>
      </c>
      <c r="C197" s="203" t="s">
        <v>81</v>
      </c>
      <c r="D197" s="203" t="s">
        <v>89</v>
      </c>
      <c r="E197" s="184" t="s">
        <v>271</v>
      </c>
      <c r="F197" s="184" t="s">
        <v>163</v>
      </c>
      <c r="G197" s="184" t="s">
        <v>67</v>
      </c>
      <c r="H197" s="107" t="s">
        <v>221</v>
      </c>
      <c r="I197" s="203" t="s">
        <v>138</v>
      </c>
      <c r="J197" s="204">
        <f>451.8</f>
        <v>451.8</v>
      </c>
      <c r="K197" s="204">
        <f>451.8</f>
        <v>451.8</v>
      </c>
      <c r="L197" s="204">
        <f>451.8</f>
        <v>451.8</v>
      </c>
      <c r="M197" s="159" t="s">
        <v>287</v>
      </c>
      <c r="N197" s="177" t="s">
        <v>287</v>
      </c>
    </row>
    <row r="198" spans="1:12" s="161" customFormat="1" ht="54" hidden="1">
      <c r="A198" s="79" t="s">
        <v>274</v>
      </c>
      <c r="B198" s="203" t="s">
        <v>136</v>
      </c>
      <c r="C198" s="203" t="s">
        <v>81</v>
      </c>
      <c r="D198" s="203" t="s">
        <v>89</v>
      </c>
      <c r="E198" s="184" t="s">
        <v>271</v>
      </c>
      <c r="F198" s="184" t="s">
        <v>163</v>
      </c>
      <c r="G198" s="184" t="s">
        <v>67</v>
      </c>
      <c r="H198" s="107" t="s">
        <v>275</v>
      </c>
      <c r="I198" s="203"/>
      <c r="J198" s="204">
        <f aca="true" t="shared" si="39" ref="J198:L199">J199</f>
        <v>0</v>
      </c>
      <c r="K198" s="204">
        <f t="shared" si="39"/>
        <v>0</v>
      </c>
      <c r="L198" s="204">
        <f t="shared" si="39"/>
        <v>0</v>
      </c>
    </row>
    <row r="199" spans="1:12" s="161" customFormat="1" ht="54" hidden="1">
      <c r="A199" s="104" t="s">
        <v>86</v>
      </c>
      <c r="B199" s="203" t="s">
        <v>136</v>
      </c>
      <c r="C199" s="203" t="s">
        <v>81</v>
      </c>
      <c r="D199" s="203" t="s">
        <v>89</v>
      </c>
      <c r="E199" s="184" t="s">
        <v>271</v>
      </c>
      <c r="F199" s="184" t="s">
        <v>163</v>
      </c>
      <c r="G199" s="184" t="s">
        <v>67</v>
      </c>
      <c r="H199" s="107" t="s">
        <v>275</v>
      </c>
      <c r="I199" s="203" t="s">
        <v>87</v>
      </c>
      <c r="J199" s="204">
        <f t="shared" si="39"/>
        <v>0</v>
      </c>
      <c r="K199" s="204">
        <f t="shared" si="39"/>
        <v>0</v>
      </c>
      <c r="L199" s="204">
        <f t="shared" si="39"/>
        <v>0</v>
      </c>
    </row>
    <row r="200" spans="1:14" s="161" customFormat="1" ht="18" hidden="1">
      <c r="A200" s="104" t="s">
        <v>137</v>
      </c>
      <c r="B200" s="203" t="s">
        <v>136</v>
      </c>
      <c r="C200" s="203" t="s">
        <v>81</v>
      </c>
      <c r="D200" s="203" t="s">
        <v>89</v>
      </c>
      <c r="E200" s="184" t="s">
        <v>271</v>
      </c>
      <c r="F200" s="184" t="s">
        <v>163</v>
      </c>
      <c r="G200" s="184" t="s">
        <v>67</v>
      </c>
      <c r="H200" s="107" t="s">
        <v>275</v>
      </c>
      <c r="I200" s="203" t="s">
        <v>138</v>
      </c>
      <c r="J200" s="204">
        <f>0</f>
        <v>0</v>
      </c>
      <c r="K200" s="204">
        <f>0</f>
        <v>0</v>
      </c>
      <c r="L200" s="204">
        <f>0</f>
        <v>0</v>
      </c>
      <c r="M200" s="159" t="s">
        <v>287</v>
      </c>
      <c r="N200" s="177" t="s">
        <v>287</v>
      </c>
    </row>
    <row r="201" spans="1:12" s="161" customFormat="1" ht="54">
      <c r="A201" s="183" t="s">
        <v>279</v>
      </c>
      <c r="B201" s="203" t="s">
        <v>136</v>
      </c>
      <c r="C201" s="203" t="s">
        <v>81</v>
      </c>
      <c r="D201" s="203" t="s">
        <v>89</v>
      </c>
      <c r="E201" s="184" t="s">
        <v>271</v>
      </c>
      <c r="F201" s="184" t="s">
        <v>61</v>
      </c>
      <c r="G201" s="184" t="s">
        <v>149</v>
      </c>
      <c r="H201" s="184" t="s">
        <v>150</v>
      </c>
      <c r="I201" s="203"/>
      <c r="J201" s="204">
        <f>J202</f>
        <v>100</v>
      </c>
      <c r="K201" s="204">
        <f>K202</f>
        <v>100</v>
      </c>
      <c r="L201" s="204">
        <f>L202</f>
        <v>100</v>
      </c>
    </row>
    <row r="202" spans="1:12" s="161" customFormat="1" ht="54">
      <c r="A202" s="183" t="s">
        <v>280</v>
      </c>
      <c r="B202" s="203" t="s">
        <v>136</v>
      </c>
      <c r="C202" s="203" t="s">
        <v>81</v>
      </c>
      <c r="D202" s="203" t="s">
        <v>89</v>
      </c>
      <c r="E202" s="184" t="s">
        <v>271</v>
      </c>
      <c r="F202" s="184" t="s">
        <v>61</v>
      </c>
      <c r="G202" s="184" t="s">
        <v>89</v>
      </c>
      <c r="H202" s="184" t="s">
        <v>150</v>
      </c>
      <c r="I202" s="203"/>
      <c r="J202" s="204">
        <f>J203+J206</f>
        <v>100</v>
      </c>
      <c r="K202" s="204">
        <f>K203+K206</f>
        <v>100</v>
      </c>
      <c r="L202" s="204">
        <f>L203+L206</f>
        <v>100</v>
      </c>
    </row>
    <row r="203" spans="1:12" s="161" customFormat="1" ht="72">
      <c r="A203" s="79" t="s">
        <v>220</v>
      </c>
      <c r="B203" s="203" t="s">
        <v>136</v>
      </c>
      <c r="C203" s="203" t="s">
        <v>81</v>
      </c>
      <c r="D203" s="203" t="s">
        <v>89</v>
      </c>
      <c r="E203" s="184" t="s">
        <v>271</v>
      </c>
      <c r="F203" s="184" t="s">
        <v>61</v>
      </c>
      <c r="G203" s="184" t="s">
        <v>89</v>
      </c>
      <c r="H203" s="107" t="s">
        <v>221</v>
      </c>
      <c r="I203" s="203"/>
      <c r="J203" s="204">
        <f aca="true" t="shared" si="40" ref="J203:L204">J204</f>
        <v>100</v>
      </c>
      <c r="K203" s="204">
        <f t="shared" si="40"/>
        <v>100</v>
      </c>
      <c r="L203" s="204">
        <f t="shared" si="40"/>
        <v>100</v>
      </c>
    </row>
    <row r="204" spans="1:12" s="161" customFormat="1" ht="54">
      <c r="A204" s="104" t="s">
        <v>86</v>
      </c>
      <c r="B204" s="203" t="s">
        <v>136</v>
      </c>
      <c r="C204" s="203" t="s">
        <v>81</v>
      </c>
      <c r="D204" s="203" t="s">
        <v>89</v>
      </c>
      <c r="E204" s="184" t="s">
        <v>271</v>
      </c>
      <c r="F204" s="184" t="s">
        <v>61</v>
      </c>
      <c r="G204" s="184" t="s">
        <v>89</v>
      </c>
      <c r="H204" s="107" t="s">
        <v>221</v>
      </c>
      <c r="I204" s="203" t="s">
        <v>87</v>
      </c>
      <c r="J204" s="204">
        <f t="shared" si="40"/>
        <v>100</v>
      </c>
      <c r="K204" s="204">
        <f t="shared" si="40"/>
        <v>100</v>
      </c>
      <c r="L204" s="204">
        <f t="shared" si="40"/>
        <v>100</v>
      </c>
    </row>
    <row r="205" spans="1:14" s="161" customFormat="1" ht="18">
      <c r="A205" s="104" t="s">
        <v>137</v>
      </c>
      <c r="B205" s="203" t="s">
        <v>136</v>
      </c>
      <c r="C205" s="203" t="s">
        <v>81</v>
      </c>
      <c r="D205" s="203" t="s">
        <v>89</v>
      </c>
      <c r="E205" s="184" t="s">
        <v>271</v>
      </c>
      <c r="F205" s="184" t="s">
        <v>61</v>
      </c>
      <c r="G205" s="184" t="s">
        <v>89</v>
      </c>
      <c r="H205" s="107" t="s">
        <v>221</v>
      </c>
      <c r="I205" s="203" t="s">
        <v>138</v>
      </c>
      <c r="J205" s="204">
        <f>100</f>
        <v>100</v>
      </c>
      <c r="K205" s="204">
        <f>100</f>
        <v>100</v>
      </c>
      <c r="L205" s="204">
        <f>100</f>
        <v>100</v>
      </c>
      <c r="M205" s="159" t="s">
        <v>287</v>
      </c>
      <c r="N205" s="177" t="s">
        <v>287</v>
      </c>
    </row>
    <row r="206" spans="1:12" s="161" customFormat="1" ht="54" hidden="1">
      <c r="A206" s="79" t="s">
        <v>274</v>
      </c>
      <c r="B206" s="203" t="s">
        <v>136</v>
      </c>
      <c r="C206" s="203" t="s">
        <v>81</v>
      </c>
      <c r="D206" s="203" t="s">
        <v>89</v>
      </c>
      <c r="E206" s="184" t="s">
        <v>271</v>
      </c>
      <c r="F206" s="184" t="s">
        <v>61</v>
      </c>
      <c r="G206" s="184" t="s">
        <v>89</v>
      </c>
      <c r="H206" s="107" t="s">
        <v>275</v>
      </c>
      <c r="I206" s="203"/>
      <c r="J206" s="204">
        <f aca="true" t="shared" si="41" ref="J206:L207">J207</f>
        <v>0</v>
      </c>
      <c r="K206" s="204">
        <f t="shared" si="41"/>
        <v>0</v>
      </c>
      <c r="L206" s="204">
        <f t="shared" si="41"/>
        <v>0</v>
      </c>
    </row>
    <row r="207" spans="1:12" s="161" customFormat="1" ht="54" hidden="1">
      <c r="A207" s="104" t="s">
        <v>86</v>
      </c>
      <c r="B207" s="203" t="s">
        <v>136</v>
      </c>
      <c r="C207" s="203" t="s">
        <v>81</v>
      </c>
      <c r="D207" s="203" t="s">
        <v>89</v>
      </c>
      <c r="E207" s="184" t="s">
        <v>271</v>
      </c>
      <c r="F207" s="184" t="s">
        <v>61</v>
      </c>
      <c r="G207" s="184" t="s">
        <v>89</v>
      </c>
      <c r="H207" s="107" t="s">
        <v>275</v>
      </c>
      <c r="I207" s="203" t="s">
        <v>87</v>
      </c>
      <c r="J207" s="204">
        <f t="shared" si="41"/>
        <v>0</v>
      </c>
      <c r="K207" s="204">
        <f t="shared" si="41"/>
        <v>0</v>
      </c>
      <c r="L207" s="204">
        <f t="shared" si="41"/>
        <v>0</v>
      </c>
    </row>
    <row r="208" spans="1:14" s="161" customFormat="1" ht="18" hidden="1">
      <c r="A208" s="104" t="s">
        <v>137</v>
      </c>
      <c r="B208" s="203" t="s">
        <v>136</v>
      </c>
      <c r="C208" s="203" t="s">
        <v>81</v>
      </c>
      <c r="D208" s="203" t="s">
        <v>89</v>
      </c>
      <c r="E208" s="184" t="s">
        <v>271</v>
      </c>
      <c r="F208" s="184" t="s">
        <v>61</v>
      </c>
      <c r="G208" s="184" t="s">
        <v>89</v>
      </c>
      <c r="H208" s="107" t="s">
        <v>275</v>
      </c>
      <c r="I208" s="203" t="s">
        <v>138</v>
      </c>
      <c r="J208" s="204">
        <f>0</f>
        <v>0</v>
      </c>
      <c r="K208" s="204">
        <f>0</f>
        <v>0</v>
      </c>
      <c r="L208" s="204">
        <f>0</f>
        <v>0</v>
      </c>
      <c r="M208" s="159" t="s">
        <v>287</v>
      </c>
      <c r="N208" s="177" t="s">
        <v>287</v>
      </c>
    </row>
    <row r="209" spans="1:12" s="161" customFormat="1" ht="18">
      <c r="A209" s="205" t="s">
        <v>139</v>
      </c>
      <c r="B209" s="110" t="s">
        <v>136</v>
      </c>
      <c r="C209" s="206" t="s">
        <v>82</v>
      </c>
      <c r="D209" s="110"/>
      <c r="E209" s="110"/>
      <c r="F209" s="110"/>
      <c r="G209" s="110"/>
      <c r="H209" s="110"/>
      <c r="I209" s="110"/>
      <c r="J209" s="200">
        <f aca="true" t="shared" si="42" ref="J209:L210">J210</f>
        <v>26978.000000000004</v>
      </c>
      <c r="K209" s="200">
        <f t="shared" si="42"/>
        <v>26978.000000000004</v>
      </c>
      <c r="L209" s="200">
        <f t="shared" si="42"/>
        <v>26978.000000000004</v>
      </c>
    </row>
    <row r="210" spans="1:12" s="161" customFormat="1" ht="18">
      <c r="A210" s="207" t="s">
        <v>140</v>
      </c>
      <c r="B210" s="110" t="s">
        <v>136</v>
      </c>
      <c r="C210" s="206" t="s">
        <v>82</v>
      </c>
      <c r="D210" s="110" t="s">
        <v>66</v>
      </c>
      <c r="E210" s="110"/>
      <c r="F210" s="110"/>
      <c r="G210" s="110"/>
      <c r="H210" s="110"/>
      <c r="I210" s="110"/>
      <c r="J210" s="200">
        <f t="shared" si="42"/>
        <v>26978.000000000004</v>
      </c>
      <c r="K210" s="200">
        <f t="shared" si="42"/>
        <v>26978.000000000004</v>
      </c>
      <c r="L210" s="200">
        <f t="shared" si="42"/>
        <v>26978.000000000004</v>
      </c>
    </row>
    <row r="211" spans="1:12" s="161" customFormat="1" ht="87">
      <c r="A211" s="185" t="s">
        <v>270</v>
      </c>
      <c r="B211" s="110" t="s">
        <v>136</v>
      </c>
      <c r="C211" s="206" t="s">
        <v>82</v>
      </c>
      <c r="D211" s="110" t="s">
        <v>66</v>
      </c>
      <c r="E211" s="186" t="s">
        <v>271</v>
      </c>
      <c r="F211" s="186" t="s">
        <v>148</v>
      </c>
      <c r="G211" s="186" t="s">
        <v>149</v>
      </c>
      <c r="H211" s="186" t="s">
        <v>150</v>
      </c>
      <c r="I211" s="110"/>
      <c r="J211" s="200">
        <f>J212+J237</f>
        <v>26978.000000000004</v>
      </c>
      <c r="K211" s="200">
        <f>K212+K237</f>
        <v>26978.000000000004</v>
      </c>
      <c r="L211" s="200">
        <f>L212+L237</f>
        <v>26978.000000000004</v>
      </c>
    </row>
    <row r="212" spans="1:12" s="161" customFormat="1" ht="90">
      <c r="A212" s="183" t="s">
        <v>281</v>
      </c>
      <c r="B212" s="203" t="s">
        <v>136</v>
      </c>
      <c r="C212" s="208" t="s">
        <v>82</v>
      </c>
      <c r="D212" s="203" t="s">
        <v>66</v>
      </c>
      <c r="E212" s="184" t="s">
        <v>271</v>
      </c>
      <c r="F212" s="184" t="s">
        <v>157</v>
      </c>
      <c r="G212" s="184" t="s">
        <v>149</v>
      </c>
      <c r="H212" s="184" t="s">
        <v>150</v>
      </c>
      <c r="I212" s="203"/>
      <c r="J212" s="204">
        <f>J213+J223+J230</f>
        <v>26955.100000000002</v>
      </c>
      <c r="K212" s="204">
        <f>K213+K223+K230</f>
        <v>26955.100000000002</v>
      </c>
      <c r="L212" s="204">
        <f>L213+L223+L230</f>
        <v>26955.100000000002</v>
      </c>
    </row>
    <row r="213" spans="1:12" s="161" customFormat="1" ht="54">
      <c r="A213" s="183" t="s">
        <v>282</v>
      </c>
      <c r="B213" s="203" t="s">
        <v>136</v>
      </c>
      <c r="C213" s="208" t="s">
        <v>82</v>
      </c>
      <c r="D213" s="203" t="s">
        <v>66</v>
      </c>
      <c r="E213" s="184" t="s">
        <v>271</v>
      </c>
      <c r="F213" s="184" t="s">
        <v>157</v>
      </c>
      <c r="G213" s="184" t="s">
        <v>66</v>
      </c>
      <c r="H213" s="184" t="s">
        <v>150</v>
      </c>
      <c r="I213" s="203"/>
      <c r="J213" s="204">
        <f>J214+J217+J220</f>
        <v>17314.100000000002</v>
      </c>
      <c r="K213" s="204">
        <f>K214+K217+K220</f>
        <v>17314.100000000002</v>
      </c>
      <c r="L213" s="204">
        <f>L214+L217+L220</f>
        <v>17314.100000000002</v>
      </c>
    </row>
    <row r="214" spans="1:12" s="161" customFormat="1" ht="72">
      <c r="A214" s="79" t="s">
        <v>220</v>
      </c>
      <c r="B214" s="203" t="s">
        <v>136</v>
      </c>
      <c r="C214" s="208" t="s">
        <v>82</v>
      </c>
      <c r="D214" s="203" t="s">
        <v>66</v>
      </c>
      <c r="E214" s="184" t="s">
        <v>271</v>
      </c>
      <c r="F214" s="184" t="s">
        <v>157</v>
      </c>
      <c r="G214" s="184" t="s">
        <v>66</v>
      </c>
      <c r="H214" s="107" t="s">
        <v>221</v>
      </c>
      <c r="I214" s="203"/>
      <c r="J214" s="204">
        <f aca="true" t="shared" si="43" ref="J214:L215">J215</f>
        <v>14780</v>
      </c>
      <c r="K214" s="204">
        <f t="shared" si="43"/>
        <v>14780</v>
      </c>
      <c r="L214" s="204">
        <f t="shared" si="43"/>
        <v>14780</v>
      </c>
    </row>
    <row r="215" spans="1:12" s="161" customFormat="1" ht="54">
      <c r="A215" s="104" t="s">
        <v>86</v>
      </c>
      <c r="B215" s="203" t="s">
        <v>136</v>
      </c>
      <c r="C215" s="208" t="s">
        <v>82</v>
      </c>
      <c r="D215" s="203" t="s">
        <v>66</v>
      </c>
      <c r="E215" s="184" t="s">
        <v>271</v>
      </c>
      <c r="F215" s="184" t="s">
        <v>157</v>
      </c>
      <c r="G215" s="184" t="s">
        <v>66</v>
      </c>
      <c r="H215" s="107" t="s">
        <v>221</v>
      </c>
      <c r="I215" s="203" t="s">
        <v>87</v>
      </c>
      <c r="J215" s="204">
        <f t="shared" si="43"/>
        <v>14780</v>
      </c>
      <c r="K215" s="204">
        <f t="shared" si="43"/>
        <v>14780</v>
      </c>
      <c r="L215" s="204">
        <f t="shared" si="43"/>
        <v>14780</v>
      </c>
    </row>
    <row r="216" spans="1:14" s="161" customFormat="1" ht="18">
      <c r="A216" s="104" t="s">
        <v>137</v>
      </c>
      <c r="B216" s="203" t="s">
        <v>136</v>
      </c>
      <c r="C216" s="208" t="s">
        <v>82</v>
      </c>
      <c r="D216" s="203" t="s">
        <v>66</v>
      </c>
      <c r="E216" s="184" t="s">
        <v>271</v>
      </c>
      <c r="F216" s="184" t="s">
        <v>157</v>
      </c>
      <c r="G216" s="184" t="s">
        <v>66</v>
      </c>
      <c r="H216" s="107" t="s">
        <v>221</v>
      </c>
      <c r="I216" s="203" t="s">
        <v>138</v>
      </c>
      <c r="J216" s="204">
        <f>(12780+2000)</f>
        <v>14780</v>
      </c>
      <c r="K216" s="204">
        <f>(12780+2000)</f>
        <v>14780</v>
      </c>
      <c r="L216" s="204">
        <f>(12780+2000)</f>
        <v>14780</v>
      </c>
      <c r="M216" s="159" t="s">
        <v>287</v>
      </c>
      <c r="N216" s="177" t="s">
        <v>287</v>
      </c>
    </row>
    <row r="217" spans="1:12" s="161" customFormat="1" ht="72">
      <c r="A217" s="79" t="s">
        <v>222</v>
      </c>
      <c r="B217" s="203" t="s">
        <v>136</v>
      </c>
      <c r="C217" s="208" t="s">
        <v>82</v>
      </c>
      <c r="D217" s="203" t="s">
        <v>66</v>
      </c>
      <c r="E217" s="184" t="s">
        <v>271</v>
      </c>
      <c r="F217" s="184" t="s">
        <v>157</v>
      </c>
      <c r="G217" s="184" t="s">
        <v>66</v>
      </c>
      <c r="H217" s="107" t="s">
        <v>223</v>
      </c>
      <c r="I217" s="203"/>
      <c r="J217" s="204">
        <f aca="true" t="shared" si="44" ref="J217:L218">J218</f>
        <v>2530.2</v>
      </c>
      <c r="K217" s="204">
        <f t="shared" si="44"/>
        <v>2530.2</v>
      </c>
      <c r="L217" s="204">
        <f t="shared" si="44"/>
        <v>2530.2</v>
      </c>
    </row>
    <row r="218" spans="1:12" s="161" customFormat="1" ht="54">
      <c r="A218" s="104" t="s">
        <v>86</v>
      </c>
      <c r="B218" s="203" t="s">
        <v>136</v>
      </c>
      <c r="C218" s="208" t="s">
        <v>82</v>
      </c>
      <c r="D218" s="203" t="s">
        <v>66</v>
      </c>
      <c r="E218" s="184" t="s">
        <v>271</v>
      </c>
      <c r="F218" s="184" t="s">
        <v>157</v>
      </c>
      <c r="G218" s="184" t="s">
        <v>66</v>
      </c>
      <c r="H218" s="107" t="s">
        <v>223</v>
      </c>
      <c r="I218" s="203" t="s">
        <v>87</v>
      </c>
      <c r="J218" s="204">
        <f t="shared" si="44"/>
        <v>2530.2</v>
      </c>
      <c r="K218" s="204">
        <f t="shared" si="44"/>
        <v>2530.2</v>
      </c>
      <c r="L218" s="204">
        <f t="shared" si="44"/>
        <v>2530.2</v>
      </c>
    </row>
    <row r="219" spans="1:14" s="161" customFormat="1" ht="18">
      <c r="A219" s="104" t="s">
        <v>137</v>
      </c>
      <c r="B219" s="203" t="s">
        <v>136</v>
      </c>
      <c r="C219" s="208" t="s">
        <v>82</v>
      </c>
      <c r="D219" s="203" t="s">
        <v>66</v>
      </c>
      <c r="E219" s="184" t="s">
        <v>271</v>
      </c>
      <c r="F219" s="184" t="s">
        <v>157</v>
      </c>
      <c r="G219" s="184" t="s">
        <v>66</v>
      </c>
      <c r="H219" s="107" t="s">
        <v>223</v>
      </c>
      <c r="I219" s="203" t="s">
        <v>138</v>
      </c>
      <c r="J219" s="204">
        <f>2530.2</f>
        <v>2530.2</v>
      </c>
      <c r="K219" s="204">
        <f>2530.2</f>
        <v>2530.2</v>
      </c>
      <c r="L219" s="204">
        <f>2530.2</f>
        <v>2530.2</v>
      </c>
      <c r="M219" s="159" t="s">
        <v>287</v>
      </c>
      <c r="N219" s="177" t="s">
        <v>287</v>
      </c>
    </row>
    <row r="220" spans="1:12" s="161" customFormat="1" ht="54">
      <c r="A220" s="79" t="s">
        <v>274</v>
      </c>
      <c r="B220" s="203" t="s">
        <v>136</v>
      </c>
      <c r="C220" s="208" t="s">
        <v>82</v>
      </c>
      <c r="D220" s="203" t="s">
        <v>66</v>
      </c>
      <c r="E220" s="184" t="s">
        <v>271</v>
      </c>
      <c r="F220" s="184" t="s">
        <v>157</v>
      </c>
      <c r="G220" s="184" t="s">
        <v>66</v>
      </c>
      <c r="H220" s="107" t="s">
        <v>275</v>
      </c>
      <c r="I220" s="203"/>
      <c r="J220" s="204">
        <f aca="true" t="shared" si="45" ref="J220:L221">J221</f>
        <v>3.9</v>
      </c>
      <c r="K220" s="204">
        <f t="shared" si="45"/>
        <v>3.9</v>
      </c>
      <c r="L220" s="204">
        <f t="shared" si="45"/>
        <v>3.9</v>
      </c>
    </row>
    <row r="221" spans="1:12" s="161" customFormat="1" ht="54">
      <c r="A221" s="104" t="s">
        <v>86</v>
      </c>
      <c r="B221" s="203" t="s">
        <v>136</v>
      </c>
      <c r="C221" s="208" t="s">
        <v>82</v>
      </c>
      <c r="D221" s="203" t="s">
        <v>66</v>
      </c>
      <c r="E221" s="184" t="s">
        <v>271</v>
      </c>
      <c r="F221" s="184" t="s">
        <v>157</v>
      </c>
      <c r="G221" s="184" t="s">
        <v>66</v>
      </c>
      <c r="H221" s="107" t="s">
        <v>275</v>
      </c>
      <c r="I221" s="203" t="s">
        <v>87</v>
      </c>
      <c r="J221" s="204">
        <f t="shared" si="45"/>
        <v>3.9</v>
      </c>
      <c r="K221" s="204">
        <f t="shared" si="45"/>
        <v>3.9</v>
      </c>
      <c r="L221" s="204">
        <f t="shared" si="45"/>
        <v>3.9</v>
      </c>
    </row>
    <row r="222" spans="1:14" s="161" customFormat="1" ht="18">
      <c r="A222" s="104" t="s">
        <v>137</v>
      </c>
      <c r="B222" s="203" t="s">
        <v>136</v>
      </c>
      <c r="C222" s="208" t="s">
        <v>82</v>
      </c>
      <c r="D222" s="203" t="s">
        <v>66</v>
      </c>
      <c r="E222" s="184" t="s">
        <v>271</v>
      </c>
      <c r="F222" s="184" t="s">
        <v>157</v>
      </c>
      <c r="G222" s="184" t="s">
        <v>66</v>
      </c>
      <c r="H222" s="107" t="s">
        <v>275</v>
      </c>
      <c r="I222" s="203" t="s">
        <v>138</v>
      </c>
      <c r="J222" s="204">
        <f>3.9</f>
        <v>3.9</v>
      </c>
      <c r="K222" s="204">
        <f>3.9</f>
        <v>3.9</v>
      </c>
      <c r="L222" s="204">
        <f>3.9</f>
        <v>3.9</v>
      </c>
      <c r="M222" s="159" t="s">
        <v>287</v>
      </c>
      <c r="N222" s="177" t="s">
        <v>287</v>
      </c>
    </row>
    <row r="223" spans="1:12" s="161" customFormat="1" ht="72">
      <c r="A223" s="183" t="s">
        <v>283</v>
      </c>
      <c r="B223" s="203" t="s">
        <v>136</v>
      </c>
      <c r="C223" s="208" t="s">
        <v>82</v>
      </c>
      <c r="D223" s="203" t="s">
        <v>66</v>
      </c>
      <c r="E223" s="184" t="s">
        <v>271</v>
      </c>
      <c r="F223" s="184" t="s">
        <v>157</v>
      </c>
      <c r="G223" s="184" t="s">
        <v>88</v>
      </c>
      <c r="H223" s="184" t="s">
        <v>150</v>
      </c>
      <c r="I223" s="203"/>
      <c r="J223" s="204">
        <f>J224+J227</f>
        <v>9576</v>
      </c>
      <c r="K223" s="204">
        <f>K224+K227</f>
        <v>9576</v>
      </c>
      <c r="L223" s="204">
        <f>L224+L227</f>
        <v>9576</v>
      </c>
    </row>
    <row r="224" spans="1:12" s="161" customFormat="1" ht="72">
      <c r="A224" s="79" t="s">
        <v>220</v>
      </c>
      <c r="B224" s="203" t="s">
        <v>136</v>
      </c>
      <c r="C224" s="208" t="s">
        <v>82</v>
      </c>
      <c r="D224" s="203" t="s">
        <v>66</v>
      </c>
      <c r="E224" s="184" t="s">
        <v>271</v>
      </c>
      <c r="F224" s="184" t="s">
        <v>157</v>
      </c>
      <c r="G224" s="184" t="s">
        <v>88</v>
      </c>
      <c r="H224" s="107" t="s">
        <v>221</v>
      </c>
      <c r="I224" s="203"/>
      <c r="J224" s="204">
        <f aca="true" t="shared" si="46" ref="J224:L225">J225</f>
        <v>9576</v>
      </c>
      <c r="K224" s="204">
        <f t="shared" si="46"/>
        <v>9576</v>
      </c>
      <c r="L224" s="204">
        <f t="shared" si="46"/>
        <v>9576</v>
      </c>
    </row>
    <row r="225" spans="1:12" s="161" customFormat="1" ht="54">
      <c r="A225" s="104" t="s">
        <v>86</v>
      </c>
      <c r="B225" s="203" t="s">
        <v>136</v>
      </c>
      <c r="C225" s="208" t="s">
        <v>82</v>
      </c>
      <c r="D225" s="203" t="s">
        <v>66</v>
      </c>
      <c r="E225" s="184" t="s">
        <v>271</v>
      </c>
      <c r="F225" s="184" t="s">
        <v>157</v>
      </c>
      <c r="G225" s="184" t="s">
        <v>88</v>
      </c>
      <c r="H225" s="107" t="s">
        <v>221</v>
      </c>
      <c r="I225" s="203" t="s">
        <v>87</v>
      </c>
      <c r="J225" s="204">
        <f t="shared" si="46"/>
        <v>9576</v>
      </c>
      <c r="K225" s="204">
        <f t="shared" si="46"/>
        <v>9576</v>
      </c>
      <c r="L225" s="204">
        <f t="shared" si="46"/>
        <v>9576</v>
      </c>
    </row>
    <row r="226" spans="1:14" s="161" customFormat="1" ht="18">
      <c r="A226" s="104" t="s">
        <v>137</v>
      </c>
      <c r="B226" s="203" t="s">
        <v>136</v>
      </c>
      <c r="C226" s="208" t="s">
        <v>82</v>
      </c>
      <c r="D226" s="203" t="s">
        <v>66</v>
      </c>
      <c r="E226" s="184" t="s">
        <v>271</v>
      </c>
      <c r="F226" s="184" t="s">
        <v>157</v>
      </c>
      <c r="G226" s="184" t="s">
        <v>88</v>
      </c>
      <c r="H226" s="107" t="s">
        <v>221</v>
      </c>
      <c r="I226" s="203" t="s">
        <v>138</v>
      </c>
      <c r="J226" s="204">
        <f>(11576-2000)</f>
        <v>9576</v>
      </c>
      <c r="K226" s="204">
        <f>(11576-2000)</f>
        <v>9576</v>
      </c>
      <c r="L226" s="204">
        <f>(11576-2000)</f>
        <v>9576</v>
      </c>
      <c r="M226" s="159" t="s">
        <v>287</v>
      </c>
      <c r="N226" s="177" t="s">
        <v>287</v>
      </c>
    </row>
    <row r="227" spans="1:12" s="161" customFormat="1" ht="54" hidden="1">
      <c r="A227" s="79" t="s">
        <v>274</v>
      </c>
      <c r="B227" s="203" t="s">
        <v>136</v>
      </c>
      <c r="C227" s="208" t="s">
        <v>82</v>
      </c>
      <c r="D227" s="203" t="s">
        <v>66</v>
      </c>
      <c r="E227" s="184" t="s">
        <v>271</v>
      </c>
      <c r="F227" s="184" t="s">
        <v>157</v>
      </c>
      <c r="G227" s="184" t="s">
        <v>88</v>
      </c>
      <c r="H227" s="107" t="s">
        <v>275</v>
      </c>
      <c r="I227" s="203"/>
      <c r="J227" s="204">
        <f aca="true" t="shared" si="47" ref="J227:L228">J228</f>
        <v>0</v>
      </c>
      <c r="K227" s="204">
        <f t="shared" si="47"/>
        <v>0</v>
      </c>
      <c r="L227" s="204">
        <f t="shared" si="47"/>
        <v>0</v>
      </c>
    </row>
    <row r="228" spans="1:12" s="161" customFormat="1" ht="54" hidden="1">
      <c r="A228" s="104" t="s">
        <v>86</v>
      </c>
      <c r="B228" s="203" t="s">
        <v>136</v>
      </c>
      <c r="C228" s="208" t="s">
        <v>82</v>
      </c>
      <c r="D228" s="203" t="s">
        <v>66</v>
      </c>
      <c r="E228" s="184" t="s">
        <v>271</v>
      </c>
      <c r="F228" s="184" t="s">
        <v>157</v>
      </c>
      <c r="G228" s="184" t="s">
        <v>88</v>
      </c>
      <c r="H228" s="107" t="s">
        <v>275</v>
      </c>
      <c r="I228" s="203" t="s">
        <v>87</v>
      </c>
      <c r="J228" s="204">
        <f t="shared" si="47"/>
        <v>0</v>
      </c>
      <c r="K228" s="204">
        <f t="shared" si="47"/>
        <v>0</v>
      </c>
      <c r="L228" s="204">
        <f t="shared" si="47"/>
        <v>0</v>
      </c>
    </row>
    <row r="229" spans="1:14" s="161" customFormat="1" ht="18" hidden="1">
      <c r="A229" s="104" t="s">
        <v>137</v>
      </c>
      <c r="B229" s="203" t="s">
        <v>136</v>
      </c>
      <c r="C229" s="208" t="s">
        <v>82</v>
      </c>
      <c r="D229" s="203" t="s">
        <v>66</v>
      </c>
      <c r="E229" s="184" t="s">
        <v>271</v>
      </c>
      <c r="F229" s="184" t="s">
        <v>157</v>
      </c>
      <c r="G229" s="184" t="s">
        <v>88</v>
      </c>
      <c r="H229" s="107" t="s">
        <v>275</v>
      </c>
      <c r="I229" s="203" t="s">
        <v>138</v>
      </c>
      <c r="J229" s="204">
        <f>0</f>
        <v>0</v>
      </c>
      <c r="K229" s="204">
        <f>0</f>
        <v>0</v>
      </c>
      <c r="L229" s="204">
        <f>0</f>
        <v>0</v>
      </c>
      <c r="M229" s="159" t="s">
        <v>287</v>
      </c>
      <c r="N229" s="177" t="s">
        <v>287</v>
      </c>
    </row>
    <row r="230" spans="1:12" s="161" customFormat="1" ht="90">
      <c r="A230" s="183" t="s">
        <v>284</v>
      </c>
      <c r="B230" s="203" t="s">
        <v>136</v>
      </c>
      <c r="C230" s="208" t="s">
        <v>82</v>
      </c>
      <c r="D230" s="203" t="s">
        <v>66</v>
      </c>
      <c r="E230" s="184" t="s">
        <v>271</v>
      </c>
      <c r="F230" s="184" t="s">
        <v>157</v>
      </c>
      <c r="G230" s="184" t="s">
        <v>89</v>
      </c>
      <c r="H230" s="184" t="s">
        <v>150</v>
      </c>
      <c r="I230" s="203"/>
      <c r="J230" s="204">
        <f>J231+J234</f>
        <v>65</v>
      </c>
      <c r="K230" s="204">
        <f>K231+K234</f>
        <v>65</v>
      </c>
      <c r="L230" s="204">
        <f>L231+L234</f>
        <v>65</v>
      </c>
    </row>
    <row r="231" spans="1:12" s="161" customFormat="1" ht="72">
      <c r="A231" s="79" t="s">
        <v>220</v>
      </c>
      <c r="B231" s="203" t="s">
        <v>136</v>
      </c>
      <c r="C231" s="208" t="s">
        <v>82</v>
      </c>
      <c r="D231" s="203" t="s">
        <v>66</v>
      </c>
      <c r="E231" s="184" t="s">
        <v>271</v>
      </c>
      <c r="F231" s="184" t="s">
        <v>157</v>
      </c>
      <c r="G231" s="184" t="s">
        <v>89</v>
      </c>
      <c r="H231" s="107" t="s">
        <v>221</v>
      </c>
      <c r="I231" s="203"/>
      <c r="J231" s="204">
        <f aca="true" t="shared" si="48" ref="J231:L232">J232</f>
        <v>65</v>
      </c>
      <c r="K231" s="204">
        <f t="shared" si="48"/>
        <v>65</v>
      </c>
      <c r="L231" s="204">
        <f t="shared" si="48"/>
        <v>65</v>
      </c>
    </row>
    <row r="232" spans="1:12" s="161" customFormat="1" ht="54">
      <c r="A232" s="104" t="s">
        <v>86</v>
      </c>
      <c r="B232" s="203" t="s">
        <v>136</v>
      </c>
      <c r="C232" s="208" t="s">
        <v>82</v>
      </c>
      <c r="D232" s="203" t="s">
        <v>66</v>
      </c>
      <c r="E232" s="184" t="s">
        <v>271</v>
      </c>
      <c r="F232" s="184" t="s">
        <v>157</v>
      </c>
      <c r="G232" s="184" t="s">
        <v>89</v>
      </c>
      <c r="H232" s="107" t="s">
        <v>221</v>
      </c>
      <c r="I232" s="203" t="s">
        <v>87</v>
      </c>
      <c r="J232" s="204">
        <f t="shared" si="48"/>
        <v>65</v>
      </c>
      <c r="K232" s="204">
        <f t="shared" si="48"/>
        <v>65</v>
      </c>
      <c r="L232" s="204">
        <f t="shared" si="48"/>
        <v>65</v>
      </c>
    </row>
    <row r="233" spans="1:14" s="161" customFormat="1" ht="18">
      <c r="A233" s="104" t="s">
        <v>137</v>
      </c>
      <c r="B233" s="203" t="s">
        <v>136</v>
      </c>
      <c r="C233" s="208" t="s">
        <v>82</v>
      </c>
      <c r="D233" s="203" t="s">
        <v>66</v>
      </c>
      <c r="E233" s="184" t="s">
        <v>271</v>
      </c>
      <c r="F233" s="184" t="s">
        <v>157</v>
      </c>
      <c r="G233" s="184" t="s">
        <v>89</v>
      </c>
      <c r="H233" s="107" t="s">
        <v>221</v>
      </c>
      <c r="I233" s="203" t="s">
        <v>138</v>
      </c>
      <c r="J233" s="204">
        <f>65</f>
        <v>65</v>
      </c>
      <c r="K233" s="204">
        <f>65</f>
        <v>65</v>
      </c>
      <c r="L233" s="204">
        <f>65</f>
        <v>65</v>
      </c>
      <c r="M233" s="159" t="s">
        <v>287</v>
      </c>
      <c r="N233" s="177" t="s">
        <v>287</v>
      </c>
    </row>
    <row r="234" spans="1:12" s="161" customFormat="1" ht="54" hidden="1">
      <c r="A234" s="79" t="s">
        <v>274</v>
      </c>
      <c r="B234" s="203" t="s">
        <v>136</v>
      </c>
      <c r="C234" s="208" t="s">
        <v>82</v>
      </c>
      <c r="D234" s="203" t="s">
        <v>66</v>
      </c>
      <c r="E234" s="184" t="s">
        <v>271</v>
      </c>
      <c r="F234" s="184" t="s">
        <v>157</v>
      </c>
      <c r="G234" s="184" t="s">
        <v>89</v>
      </c>
      <c r="H234" s="107" t="s">
        <v>275</v>
      </c>
      <c r="I234" s="203"/>
      <c r="J234" s="204">
        <f aca="true" t="shared" si="49" ref="J234:L235">J235</f>
        <v>0</v>
      </c>
      <c r="K234" s="204">
        <f t="shared" si="49"/>
        <v>0</v>
      </c>
      <c r="L234" s="204">
        <f t="shared" si="49"/>
        <v>0</v>
      </c>
    </row>
    <row r="235" spans="1:12" s="161" customFormat="1" ht="54" hidden="1">
      <c r="A235" s="104" t="s">
        <v>86</v>
      </c>
      <c r="B235" s="203" t="s">
        <v>136</v>
      </c>
      <c r="C235" s="208" t="s">
        <v>82</v>
      </c>
      <c r="D235" s="203" t="s">
        <v>66</v>
      </c>
      <c r="E235" s="184" t="s">
        <v>271</v>
      </c>
      <c r="F235" s="184" t="s">
        <v>157</v>
      </c>
      <c r="G235" s="184" t="s">
        <v>89</v>
      </c>
      <c r="H235" s="107" t="s">
        <v>275</v>
      </c>
      <c r="I235" s="203" t="s">
        <v>87</v>
      </c>
      <c r="J235" s="204">
        <f t="shared" si="49"/>
        <v>0</v>
      </c>
      <c r="K235" s="204">
        <f t="shared" si="49"/>
        <v>0</v>
      </c>
      <c r="L235" s="204">
        <f t="shared" si="49"/>
        <v>0</v>
      </c>
    </row>
    <row r="236" spans="1:14" s="161" customFormat="1" ht="18" hidden="1">
      <c r="A236" s="104" t="s">
        <v>137</v>
      </c>
      <c r="B236" s="203" t="s">
        <v>136</v>
      </c>
      <c r="C236" s="208" t="s">
        <v>82</v>
      </c>
      <c r="D236" s="203" t="s">
        <v>66</v>
      </c>
      <c r="E236" s="184" t="s">
        <v>271</v>
      </c>
      <c r="F236" s="184" t="s">
        <v>157</v>
      </c>
      <c r="G236" s="184" t="s">
        <v>89</v>
      </c>
      <c r="H236" s="107" t="s">
        <v>275</v>
      </c>
      <c r="I236" s="203" t="s">
        <v>138</v>
      </c>
      <c r="J236" s="204">
        <f>0</f>
        <v>0</v>
      </c>
      <c r="K236" s="204">
        <f>0</f>
        <v>0</v>
      </c>
      <c r="L236" s="204">
        <f>0</f>
        <v>0</v>
      </c>
      <c r="M236" s="159" t="s">
        <v>287</v>
      </c>
      <c r="N236" s="177" t="s">
        <v>287</v>
      </c>
    </row>
    <row r="237" spans="1:12" s="161" customFormat="1" ht="54">
      <c r="A237" s="183" t="s">
        <v>279</v>
      </c>
      <c r="B237" s="203" t="s">
        <v>136</v>
      </c>
      <c r="C237" s="208" t="s">
        <v>82</v>
      </c>
      <c r="D237" s="203" t="s">
        <v>66</v>
      </c>
      <c r="E237" s="184" t="s">
        <v>271</v>
      </c>
      <c r="F237" s="184" t="s">
        <v>61</v>
      </c>
      <c r="G237" s="184" t="s">
        <v>149</v>
      </c>
      <c r="H237" s="184" t="s">
        <v>150</v>
      </c>
      <c r="I237" s="203"/>
      <c r="J237" s="204">
        <f>J238+J245</f>
        <v>22.9</v>
      </c>
      <c r="K237" s="204">
        <f>K238+K245</f>
        <v>22.9</v>
      </c>
      <c r="L237" s="204">
        <f>L238+L245</f>
        <v>22.9</v>
      </c>
    </row>
    <row r="238" spans="1:12" s="161" customFormat="1" ht="108" hidden="1">
      <c r="A238" s="183" t="s">
        <v>285</v>
      </c>
      <c r="B238" s="203" t="s">
        <v>136</v>
      </c>
      <c r="C238" s="208" t="s">
        <v>82</v>
      </c>
      <c r="D238" s="203" t="s">
        <v>66</v>
      </c>
      <c r="E238" s="184" t="s">
        <v>271</v>
      </c>
      <c r="F238" s="184" t="s">
        <v>61</v>
      </c>
      <c r="G238" s="184" t="s">
        <v>66</v>
      </c>
      <c r="H238" s="184" t="s">
        <v>150</v>
      </c>
      <c r="I238" s="203"/>
      <c r="J238" s="204">
        <f>J239+J242</f>
        <v>0</v>
      </c>
      <c r="K238" s="204">
        <f>K239+K242</f>
        <v>0</v>
      </c>
      <c r="L238" s="204">
        <f>L239+L242</f>
        <v>0</v>
      </c>
    </row>
    <row r="239" spans="1:12" s="161" customFormat="1" ht="72" hidden="1">
      <c r="A239" s="79" t="s">
        <v>220</v>
      </c>
      <c r="B239" s="203" t="s">
        <v>136</v>
      </c>
      <c r="C239" s="208" t="s">
        <v>82</v>
      </c>
      <c r="D239" s="203" t="s">
        <v>66</v>
      </c>
      <c r="E239" s="184" t="s">
        <v>271</v>
      </c>
      <c r="F239" s="184" t="s">
        <v>61</v>
      </c>
      <c r="G239" s="184" t="s">
        <v>66</v>
      </c>
      <c r="H239" s="107" t="s">
        <v>221</v>
      </c>
      <c r="I239" s="203"/>
      <c r="J239" s="204">
        <f aca="true" t="shared" si="50" ref="J239:L240">J240</f>
        <v>0</v>
      </c>
      <c r="K239" s="204">
        <f t="shared" si="50"/>
        <v>0</v>
      </c>
      <c r="L239" s="204">
        <f t="shared" si="50"/>
        <v>0</v>
      </c>
    </row>
    <row r="240" spans="1:12" s="161" customFormat="1" ht="54" hidden="1">
      <c r="A240" s="104" t="s">
        <v>86</v>
      </c>
      <c r="B240" s="203" t="s">
        <v>136</v>
      </c>
      <c r="C240" s="208" t="s">
        <v>82</v>
      </c>
      <c r="D240" s="203" t="s">
        <v>66</v>
      </c>
      <c r="E240" s="184" t="s">
        <v>271</v>
      </c>
      <c r="F240" s="184" t="s">
        <v>61</v>
      </c>
      <c r="G240" s="184" t="s">
        <v>66</v>
      </c>
      <c r="H240" s="107" t="s">
        <v>221</v>
      </c>
      <c r="I240" s="203" t="s">
        <v>87</v>
      </c>
      <c r="J240" s="204">
        <f t="shared" si="50"/>
        <v>0</v>
      </c>
      <c r="K240" s="204">
        <f t="shared" si="50"/>
        <v>0</v>
      </c>
      <c r="L240" s="204">
        <f t="shared" si="50"/>
        <v>0</v>
      </c>
    </row>
    <row r="241" spans="1:14" s="161" customFormat="1" ht="18" hidden="1">
      <c r="A241" s="104" t="s">
        <v>137</v>
      </c>
      <c r="B241" s="203" t="s">
        <v>136</v>
      </c>
      <c r="C241" s="208" t="s">
        <v>82</v>
      </c>
      <c r="D241" s="203" t="s">
        <v>66</v>
      </c>
      <c r="E241" s="184" t="s">
        <v>271</v>
      </c>
      <c r="F241" s="184" t="s">
        <v>61</v>
      </c>
      <c r="G241" s="184" t="s">
        <v>66</v>
      </c>
      <c r="H241" s="107" t="s">
        <v>221</v>
      </c>
      <c r="I241" s="203" t="s">
        <v>138</v>
      </c>
      <c r="J241" s="204">
        <f>0</f>
        <v>0</v>
      </c>
      <c r="K241" s="204">
        <f>0</f>
        <v>0</v>
      </c>
      <c r="L241" s="204">
        <f>0</f>
        <v>0</v>
      </c>
      <c r="M241" s="159" t="s">
        <v>287</v>
      </c>
      <c r="N241" s="177" t="s">
        <v>287</v>
      </c>
    </row>
    <row r="242" spans="1:12" s="161" customFormat="1" ht="54" hidden="1">
      <c r="A242" s="79" t="s">
        <v>274</v>
      </c>
      <c r="B242" s="203" t="s">
        <v>136</v>
      </c>
      <c r="C242" s="208" t="s">
        <v>82</v>
      </c>
      <c r="D242" s="203" t="s">
        <v>66</v>
      </c>
      <c r="E242" s="184" t="s">
        <v>271</v>
      </c>
      <c r="F242" s="184" t="s">
        <v>61</v>
      </c>
      <c r="G242" s="184" t="s">
        <v>66</v>
      </c>
      <c r="H242" s="107" t="s">
        <v>275</v>
      </c>
      <c r="I242" s="203"/>
      <c r="J242" s="204">
        <f aca="true" t="shared" si="51" ref="J242:L243">J243</f>
        <v>0</v>
      </c>
      <c r="K242" s="204">
        <f t="shared" si="51"/>
        <v>0</v>
      </c>
      <c r="L242" s="204">
        <f t="shared" si="51"/>
        <v>0</v>
      </c>
    </row>
    <row r="243" spans="1:12" s="161" customFormat="1" ht="54" hidden="1">
      <c r="A243" s="104" t="s">
        <v>86</v>
      </c>
      <c r="B243" s="203" t="s">
        <v>136</v>
      </c>
      <c r="C243" s="208" t="s">
        <v>82</v>
      </c>
      <c r="D243" s="203" t="s">
        <v>66</v>
      </c>
      <c r="E243" s="184" t="s">
        <v>271</v>
      </c>
      <c r="F243" s="184" t="s">
        <v>61</v>
      </c>
      <c r="G243" s="184" t="s">
        <v>66</v>
      </c>
      <c r="H243" s="107" t="s">
        <v>275</v>
      </c>
      <c r="I243" s="203" t="s">
        <v>87</v>
      </c>
      <c r="J243" s="204">
        <f t="shared" si="51"/>
        <v>0</v>
      </c>
      <c r="K243" s="204">
        <f t="shared" si="51"/>
        <v>0</v>
      </c>
      <c r="L243" s="204">
        <f t="shared" si="51"/>
        <v>0</v>
      </c>
    </row>
    <row r="244" spans="1:14" s="161" customFormat="1" ht="18" hidden="1">
      <c r="A244" s="104" t="s">
        <v>137</v>
      </c>
      <c r="B244" s="203" t="s">
        <v>136</v>
      </c>
      <c r="C244" s="208" t="s">
        <v>82</v>
      </c>
      <c r="D244" s="203" t="s">
        <v>66</v>
      </c>
      <c r="E244" s="184" t="s">
        <v>271</v>
      </c>
      <c r="F244" s="184" t="s">
        <v>61</v>
      </c>
      <c r="G244" s="184" t="s">
        <v>66</v>
      </c>
      <c r="H244" s="107" t="s">
        <v>275</v>
      </c>
      <c r="I244" s="203" t="s">
        <v>138</v>
      </c>
      <c r="J244" s="204">
        <f>0</f>
        <v>0</v>
      </c>
      <c r="K244" s="204">
        <f>0</f>
        <v>0</v>
      </c>
      <c r="L244" s="204">
        <f>0</f>
        <v>0</v>
      </c>
      <c r="M244" s="159" t="s">
        <v>287</v>
      </c>
      <c r="N244" s="177" t="s">
        <v>287</v>
      </c>
    </row>
    <row r="245" spans="1:12" s="161" customFormat="1" ht="90">
      <c r="A245" s="183" t="s">
        <v>286</v>
      </c>
      <c r="B245" s="203" t="s">
        <v>136</v>
      </c>
      <c r="C245" s="208" t="s">
        <v>82</v>
      </c>
      <c r="D245" s="203" t="s">
        <v>66</v>
      </c>
      <c r="E245" s="184" t="s">
        <v>271</v>
      </c>
      <c r="F245" s="184" t="s">
        <v>61</v>
      </c>
      <c r="G245" s="184" t="s">
        <v>88</v>
      </c>
      <c r="H245" s="184" t="s">
        <v>150</v>
      </c>
      <c r="I245" s="203"/>
      <c r="J245" s="204">
        <f>J246+J249</f>
        <v>22.9</v>
      </c>
      <c r="K245" s="204">
        <f>K246+K249</f>
        <v>22.9</v>
      </c>
      <c r="L245" s="204">
        <f>L246+L249</f>
        <v>22.9</v>
      </c>
    </row>
    <row r="246" spans="1:12" s="161" customFormat="1" ht="72">
      <c r="A246" s="79" t="s">
        <v>220</v>
      </c>
      <c r="B246" s="203" t="s">
        <v>136</v>
      </c>
      <c r="C246" s="208" t="s">
        <v>82</v>
      </c>
      <c r="D246" s="203" t="s">
        <v>66</v>
      </c>
      <c r="E246" s="184" t="s">
        <v>271</v>
      </c>
      <c r="F246" s="184" t="s">
        <v>61</v>
      </c>
      <c r="G246" s="184" t="s">
        <v>88</v>
      </c>
      <c r="H246" s="107" t="s">
        <v>221</v>
      </c>
      <c r="I246" s="203"/>
      <c r="J246" s="204">
        <f aca="true" t="shared" si="52" ref="J246:L247">J247</f>
        <v>20</v>
      </c>
      <c r="K246" s="204">
        <f t="shared" si="52"/>
        <v>20</v>
      </c>
      <c r="L246" s="204">
        <f t="shared" si="52"/>
        <v>20</v>
      </c>
    </row>
    <row r="247" spans="1:12" s="161" customFormat="1" ht="54">
      <c r="A247" s="104" t="s">
        <v>86</v>
      </c>
      <c r="B247" s="203" t="s">
        <v>136</v>
      </c>
      <c r="C247" s="208" t="s">
        <v>82</v>
      </c>
      <c r="D247" s="203" t="s">
        <v>66</v>
      </c>
      <c r="E247" s="184" t="s">
        <v>271</v>
      </c>
      <c r="F247" s="184" t="s">
        <v>61</v>
      </c>
      <c r="G247" s="184" t="s">
        <v>88</v>
      </c>
      <c r="H247" s="107" t="s">
        <v>221</v>
      </c>
      <c r="I247" s="203" t="s">
        <v>87</v>
      </c>
      <c r="J247" s="204">
        <f t="shared" si="52"/>
        <v>20</v>
      </c>
      <c r="K247" s="204">
        <f t="shared" si="52"/>
        <v>20</v>
      </c>
      <c r="L247" s="204">
        <f t="shared" si="52"/>
        <v>20</v>
      </c>
    </row>
    <row r="248" spans="1:14" s="161" customFormat="1" ht="18">
      <c r="A248" s="104" t="s">
        <v>137</v>
      </c>
      <c r="B248" s="203" t="s">
        <v>136</v>
      </c>
      <c r="C248" s="208" t="s">
        <v>82</v>
      </c>
      <c r="D248" s="203" t="s">
        <v>66</v>
      </c>
      <c r="E248" s="184" t="s">
        <v>271</v>
      </c>
      <c r="F248" s="184" t="s">
        <v>61</v>
      </c>
      <c r="G248" s="184" t="s">
        <v>88</v>
      </c>
      <c r="H248" s="107" t="s">
        <v>221</v>
      </c>
      <c r="I248" s="203" t="s">
        <v>138</v>
      </c>
      <c r="J248" s="204">
        <f>20</f>
        <v>20</v>
      </c>
      <c r="K248" s="204">
        <f>20</f>
        <v>20</v>
      </c>
      <c r="L248" s="204">
        <f>20</f>
        <v>20</v>
      </c>
      <c r="M248" s="159" t="s">
        <v>287</v>
      </c>
      <c r="N248" s="177" t="s">
        <v>287</v>
      </c>
    </row>
    <row r="249" spans="1:12" s="161" customFormat="1" ht="54">
      <c r="A249" s="79" t="s">
        <v>274</v>
      </c>
      <c r="B249" s="203" t="s">
        <v>136</v>
      </c>
      <c r="C249" s="208" t="s">
        <v>82</v>
      </c>
      <c r="D249" s="203" t="s">
        <v>66</v>
      </c>
      <c r="E249" s="184" t="s">
        <v>271</v>
      </c>
      <c r="F249" s="184" t="s">
        <v>61</v>
      </c>
      <c r="G249" s="184" t="s">
        <v>88</v>
      </c>
      <c r="H249" s="107" t="s">
        <v>275</v>
      </c>
      <c r="I249" s="203"/>
      <c r="J249" s="204">
        <f aca="true" t="shared" si="53" ref="J249:L250">J250</f>
        <v>2.9</v>
      </c>
      <c r="K249" s="204">
        <f t="shared" si="53"/>
        <v>2.9</v>
      </c>
      <c r="L249" s="204">
        <f t="shared" si="53"/>
        <v>2.9</v>
      </c>
    </row>
    <row r="250" spans="1:12" s="161" customFormat="1" ht="54">
      <c r="A250" s="104" t="s">
        <v>86</v>
      </c>
      <c r="B250" s="203" t="s">
        <v>136</v>
      </c>
      <c r="C250" s="208" t="s">
        <v>82</v>
      </c>
      <c r="D250" s="203" t="s">
        <v>66</v>
      </c>
      <c r="E250" s="184" t="s">
        <v>271</v>
      </c>
      <c r="F250" s="184" t="s">
        <v>61</v>
      </c>
      <c r="G250" s="184" t="s">
        <v>88</v>
      </c>
      <c r="H250" s="107" t="s">
        <v>275</v>
      </c>
      <c r="I250" s="203" t="s">
        <v>87</v>
      </c>
      <c r="J250" s="204">
        <f t="shared" si="53"/>
        <v>2.9</v>
      </c>
      <c r="K250" s="204">
        <f t="shared" si="53"/>
        <v>2.9</v>
      </c>
      <c r="L250" s="204">
        <f t="shared" si="53"/>
        <v>2.9</v>
      </c>
    </row>
    <row r="251" spans="1:14" s="161" customFormat="1" ht="18">
      <c r="A251" s="104" t="s">
        <v>137</v>
      </c>
      <c r="B251" s="203" t="s">
        <v>136</v>
      </c>
      <c r="C251" s="208" t="s">
        <v>82</v>
      </c>
      <c r="D251" s="203" t="s">
        <v>66</v>
      </c>
      <c r="E251" s="184" t="s">
        <v>271</v>
      </c>
      <c r="F251" s="184" t="s">
        <v>61</v>
      </c>
      <c r="G251" s="184" t="s">
        <v>88</v>
      </c>
      <c r="H251" s="107" t="s">
        <v>275</v>
      </c>
      <c r="I251" s="203" t="s">
        <v>138</v>
      </c>
      <c r="J251" s="204">
        <f>2.9</f>
        <v>2.9</v>
      </c>
      <c r="K251" s="204">
        <f>2.9</f>
        <v>2.9</v>
      </c>
      <c r="L251" s="204">
        <f>2.9</f>
        <v>2.9</v>
      </c>
      <c r="M251" s="159" t="s">
        <v>287</v>
      </c>
      <c r="N251" s="177" t="s">
        <v>287</v>
      </c>
    </row>
    <row r="252" spans="1:12" s="161" customFormat="1" ht="35.25">
      <c r="A252" s="174" t="s">
        <v>111</v>
      </c>
      <c r="B252" s="158" t="s">
        <v>112</v>
      </c>
      <c r="C252" s="158"/>
      <c r="D252" s="158"/>
      <c r="E252" s="158"/>
      <c r="F252" s="158"/>
      <c r="G252" s="158"/>
      <c r="H252" s="158"/>
      <c r="I252" s="158"/>
      <c r="J252" s="114">
        <f>J253</f>
        <v>979</v>
      </c>
      <c r="K252" s="114">
        <f aca="true" t="shared" si="54" ref="K252:L255">K253</f>
        <v>979</v>
      </c>
      <c r="L252" s="114">
        <f t="shared" si="54"/>
        <v>979</v>
      </c>
    </row>
    <row r="253" spans="1:12" s="161" customFormat="1" ht="18">
      <c r="A253" s="162" t="s">
        <v>65</v>
      </c>
      <c r="B253" s="158" t="s">
        <v>112</v>
      </c>
      <c r="C253" s="158" t="s">
        <v>66</v>
      </c>
      <c r="D253" s="158"/>
      <c r="E253" s="158"/>
      <c r="F253" s="158"/>
      <c r="G253" s="158"/>
      <c r="H253" s="158"/>
      <c r="I253" s="158"/>
      <c r="J253" s="114">
        <f>J254</f>
        <v>979</v>
      </c>
      <c r="K253" s="114">
        <f t="shared" si="54"/>
        <v>979</v>
      </c>
      <c r="L253" s="114">
        <f t="shared" si="54"/>
        <v>979</v>
      </c>
    </row>
    <row r="254" spans="1:12" s="161" customFormat="1" ht="87">
      <c r="A254" s="162" t="s">
        <v>113</v>
      </c>
      <c r="B254" s="158" t="s">
        <v>112</v>
      </c>
      <c r="C254" s="158" t="s">
        <v>66</v>
      </c>
      <c r="D254" s="158" t="s">
        <v>89</v>
      </c>
      <c r="E254" s="158"/>
      <c r="F254" s="158"/>
      <c r="G254" s="158"/>
      <c r="H254" s="158"/>
      <c r="I254" s="158"/>
      <c r="J254" s="114">
        <f>J255</f>
        <v>979</v>
      </c>
      <c r="K254" s="114">
        <f t="shared" si="54"/>
        <v>979</v>
      </c>
      <c r="L254" s="114">
        <f t="shared" si="54"/>
        <v>979</v>
      </c>
    </row>
    <row r="255" spans="1:12" s="161" customFormat="1" ht="36">
      <c r="A255" s="169" t="s">
        <v>211</v>
      </c>
      <c r="B255" s="106" t="s">
        <v>112</v>
      </c>
      <c r="C255" s="106" t="s">
        <v>66</v>
      </c>
      <c r="D255" s="106" t="s">
        <v>89</v>
      </c>
      <c r="E255" s="107" t="s">
        <v>212</v>
      </c>
      <c r="F255" s="107" t="s">
        <v>148</v>
      </c>
      <c r="G255" s="107" t="s">
        <v>149</v>
      </c>
      <c r="H255" s="107" t="s">
        <v>150</v>
      </c>
      <c r="I255" s="106"/>
      <c r="J255" s="109">
        <f>J256</f>
        <v>979</v>
      </c>
      <c r="K255" s="109">
        <f t="shared" si="54"/>
        <v>979</v>
      </c>
      <c r="L255" s="109">
        <f t="shared" si="54"/>
        <v>979</v>
      </c>
    </row>
    <row r="256" spans="1:12" s="161" customFormat="1" ht="36">
      <c r="A256" s="169" t="s">
        <v>224</v>
      </c>
      <c r="B256" s="106" t="s">
        <v>112</v>
      </c>
      <c r="C256" s="106" t="s">
        <v>66</v>
      </c>
      <c r="D256" s="106" t="s">
        <v>89</v>
      </c>
      <c r="E256" s="107" t="s">
        <v>212</v>
      </c>
      <c r="F256" s="106">
        <v>1</v>
      </c>
      <c r="G256" s="107" t="s">
        <v>149</v>
      </c>
      <c r="H256" s="107" t="s">
        <v>150</v>
      </c>
      <c r="I256" s="106"/>
      <c r="J256" s="109">
        <f>J257+J260+J265</f>
        <v>979</v>
      </c>
      <c r="K256" s="109">
        <f>K257+K260+K265</f>
        <v>979</v>
      </c>
      <c r="L256" s="109">
        <f>L257+L260+L265</f>
        <v>979</v>
      </c>
    </row>
    <row r="257" spans="1:12" s="161" customFormat="1" ht="54">
      <c r="A257" s="169" t="s">
        <v>225</v>
      </c>
      <c r="B257" s="106" t="s">
        <v>112</v>
      </c>
      <c r="C257" s="106" t="s">
        <v>66</v>
      </c>
      <c r="D257" s="106" t="s">
        <v>89</v>
      </c>
      <c r="E257" s="107" t="s">
        <v>212</v>
      </c>
      <c r="F257" s="107" t="s">
        <v>157</v>
      </c>
      <c r="G257" s="107" t="s">
        <v>149</v>
      </c>
      <c r="H257" s="107" t="s">
        <v>226</v>
      </c>
      <c r="I257" s="106"/>
      <c r="J257" s="109">
        <f aca="true" t="shared" si="55" ref="J257:L258">J258</f>
        <v>680</v>
      </c>
      <c r="K257" s="109">
        <f t="shared" si="55"/>
        <v>680</v>
      </c>
      <c r="L257" s="109">
        <f t="shared" si="55"/>
        <v>680</v>
      </c>
    </row>
    <row r="258" spans="1:12" s="161" customFormat="1" ht="125.25" customHeight="1">
      <c r="A258" s="104" t="s">
        <v>68</v>
      </c>
      <c r="B258" s="106" t="s">
        <v>112</v>
      </c>
      <c r="C258" s="106" t="s">
        <v>66</v>
      </c>
      <c r="D258" s="106" t="s">
        <v>89</v>
      </c>
      <c r="E258" s="107" t="s">
        <v>212</v>
      </c>
      <c r="F258" s="107" t="s">
        <v>157</v>
      </c>
      <c r="G258" s="107" t="s">
        <v>149</v>
      </c>
      <c r="H258" s="107" t="s">
        <v>226</v>
      </c>
      <c r="I258" s="106" t="s">
        <v>69</v>
      </c>
      <c r="J258" s="109">
        <f t="shared" si="55"/>
        <v>680</v>
      </c>
      <c r="K258" s="109">
        <f t="shared" si="55"/>
        <v>680</v>
      </c>
      <c r="L258" s="109">
        <f t="shared" si="55"/>
        <v>680</v>
      </c>
    </row>
    <row r="259" spans="1:14" s="161" customFormat="1" ht="54">
      <c r="A259" s="104" t="s">
        <v>70</v>
      </c>
      <c r="B259" s="106" t="s">
        <v>112</v>
      </c>
      <c r="C259" s="106" t="s">
        <v>66</v>
      </c>
      <c r="D259" s="106" t="s">
        <v>89</v>
      </c>
      <c r="E259" s="107" t="s">
        <v>212</v>
      </c>
      <c r="F259" s="107" t="s">
        <v>157</v>
      </c>
      <c r="G259" s="107" t="s">
        <v>149</v>
      </c>
      <c r="H259" s="107" t="s">
        <v>226</v>
      </c>
      <c r="I259" s="106" t="s">
        <v>71</v>
      </c>
      <c r="J259" s="109">
        <f>680</f>
        <v>680</v>
      </c>
      <c r="K259" s="109">
        <f>680</f>
        <v>680</v>
      </c>
      <c r="L259" s="109">
        <f>680</f>
        <v>680</v>
      </c>
      <c r="M259" s="159" t="s">
        <v>287</v>
      </c>
      <c r="N259" s="177" t="s">
        <v>287</v>
      </c>
    </row>
    <row r="260" spans="1:12" s="161" customFormat="1" ht="36">
      <c r="A260" s="169" t="s">
        <v>72</v>
      </c>
      <c r="B260" s="106" t="s">
        <v>112</v>
      </c>
      <c r="C260" s="106" t="s">
        <v>66</v>
      </c>
      <c r="D260" s="106" t="s">
        <v>89</v>
      </c>
      <c r="E260" s="107" t="s">
        <v>212</v>
      </c>
      <c r="F260" s="107" t="s">
        <v>157</v>
      </c>
      <c r="G260" s="107" t="s">
        <v>149</v>
      </c>
      <c r="H260" s="107" t="s">
        <v>227</v>
      </c>
      <c r="I260" s="106"/>
      <c r="J260" s="109">
        <f>J261+J263</f>
        <v>299</v>
      </c>
      <c r="K260" s="109">
        <f>K261+K263</f>
        <v>299</v>
      </c>
      <c r="L260" s="109">
        <f>L261+L263</f>
        <v>299</v>
      </c>
    </row>
    <row r="261" spans="1:12" s="161" customFormat="1" ht="123" customHeight="1">
      <c r="A261" s="104" t="s">
        <v>68</v>
      </c>
      <c r="B261" s="106" t="s">
        <v>112</v>
      </c>
      <c r="C261" s="106" t="s">
        <v>66</v>
      </c>
      <c r="D261" s="106" t="s">
        <v>89</v>
      </c>
      <c r="E261" s="107" t="s">
        <v>212</v>
      </c>
      <c r="F261" s="107" t="s">
        <v>157</v>
      </c>
      <c r="G261" s="107" t="s">
        <v>149</v>
      </c>
      <c r="H261" s="107" t="s">
        <v>227</v>
      </c>
      <c r="I261" s="106" t="s">
        <v>69</v>
      </c>
      <c r="J261" s="109">
        <f>J262</f>
        <v>230</v>
      </c>
      <c r="K261" s="109">
        <f>K262</f>
        <v>230</v>
      </c>
      <c r="L261" s="109">
        <f>L262</f>
        <v>230</v>
      </c>
    </row>
    <row r="262" spans="1:14" s="161" customFormat="1" ht="54">
      <c r="A262" s="104" t="s">
        <v>70</v>
      </c>
      <c r="B262" s="106" t="s">
        <v>112</v>
      </c>
      <c r="C262" s="106" t="s">
        <v>66</v>
      </c>
      <c r="D262" s="106" t="s">
        <v>89</v>
      </c>
      <c r="E262" s="107" t="s">
        <v>212</v>
      </c>
      <c r="F262" s="107" t="s">
        <v>157</v>
      </c>
      <c r="G262" s="107" t="s">
        <v>149</v>
      </c>
      <c r="H262" s="107" t="s">
        <v>227</v>
      </c>
      <c r="I262" s="106" t="s">
        <v>71</v>
      </c>
      <c r="J262" s="109">
        <f>230</f>
        <v>230</v>
      </c>
      <c r="K262" s="109">
        <f>230</f>
        <v>230</v>
      </c>
      <c r="L262" s="109">
        <f>230</f>
        <v>230</v>
      </c>
      <c r="M262" s="159" t="s">
        <v>287</v>
      </c>
      <c r="N262" s="177" t="s">
        <v>287</v>
      </c>
    </row>
    <row r="263" spans="1:12" s="161" customFormat="1" ht="54">
      <c r="A263" s="104" t="s">
        <v>153</v>
      </c>
      <c r="B263" s="106" t="s">
        <v>112</v>
      </c>
      <c r="C263" s="106" t="s">
        <v>66</v>
      </c>
      <c r="D263" s="106" t="s">
        <v>89</v>
      </c>
      <c r="E263" s="107" t="s">
        <v>212</v>
      </c>
      <c r="F263" s="107" t="s">
        <v>157</v>
      </c>
      <c r="G263" s="107" t="s">
        <v>149</v>
      </c>
      <c r="H263" s="107" t="s">
        <v>227</v>
      </c>
      <c r="I263" s="182" t="s">
        <v>74</v>
      </c>
      <c r="J263" s="109">
        <f>J264</f>
        <v>69</v>
      </c>
      <c r="K263" s="109">
        <f>K264</f>
        <v>69</v>
      </c>
      <c r="L263" s="109">
        <f>L264</f>
        <v>69</v>
      </c>
    </row>
    <row r="264" spans="1:14" s="161" customFormat="1" ht="54">
      <c r="A264" s="104" t="s">
        <v>75</v>
      </c>
      <c r="B264" s="106" t="s">
        <v>112</v>
      </c>
      <c r="C264" s="106" t="s">
        <v>66</v>
      </c>
      <c r="D264" s="106" t="s">
        <v>89</v>
      </c>
      <c r="E264" s="107" t="s">
        <v>212</v>
      </c>
      <c r="F264" s="107" t="s">
        <v>157</v>
      </c>
      <c r="G264" s="107" t="s">
        <v>149</v>
      </c>
      <c r="H264" s="107" t="s">
        <v>227</v>
      </c>
      <c r="I264" s="182" t="s">
        <v>76</v>
      </c>
      <c r="J264" s="109">
        <v>69</v>
      </c>
      <c r="K264" s="109">
        <v>69</v>
      </c>
      <c r="L264" s="109">
        <v>69</v>
      </c>
      <c r="M264" s="159" t="s">
        <v>287</v>
      </c>
      <c r="N264" s="177" t="s">
        <v>287</v>
      </c>
    </row>
    <row r="265" spans="1:12" s="161" customFormat="1" ht="54" hidden="1">
      <c r="A265" s="104" t="s">
        <v>228</v>
      </c>
      <c r="B265" s="106" t="s">
        <v>112</v>
      </c>
      <c r="C265" s="179" t="s">
        <v>66</v>
      </c>
      <c r="D265" s="179" t="s">
        <v>89</v>
      </c>
      <c r="E265" s="107" t="s">
        <v>212</v>
      </c>
      <c r="F265" s="107" t="s">
        <v>157</v>
      </c>
      <c r="G265" s="107" t="s">
        <v>149</v>
      </c>
      <c r="H265" s="107" t="s">
        <v>229</v>
      </c>
      <c r="I265" s="106"/>
      <c r="J265" s="109">
        <f aca="true" t="shared" si="56" ref="J265:L266">J266</f>
        <v>0</v>
      </c>
      <c r="K265" s="109">
        <f t="shared" si="56"/>
        <v>0</v>
      </c>
      <c r="L265" s="109">
        <f t="shared" si="56"/>
        <v>0</v>
      </c>
    </row>
    <row r="266" spans="1:12" s="161" customFormat="1" ht="18" hidden="1">
      <c r="A266" s="104" t="s">
        <v>77</v>
      </c>
      <c r="B266" s="106" t="s">
        <v>112</v>
      </c>
      <c r="C266" s="179" t="s">
        <v>66</v>
      </c>
      <c r="D266" s="179" t="s">
        <v>89</v>
      </c>
      <c r="E266" s="107" t="s">
        <v>212</v>
      </c>
      <c r="F266" s="107" t="s">
        <v>157</v>
      </c>
      <c r="G266" s="107" t="s">
        <v>149</v>
      </c>
      <c r="H266" s="107" t="s">
        <v>229</v>
      </c>
      <c r="I266" s="106" t="s">
        <v>78</v>
      </c>
      <c r="J266" s="109">
        <f t="shared" si="56"/>
        <v>0</v>
      </c>
      <c r="K266" s="109">
        <f t="shared" si="56"/>
        <v>0</v>
      </c>
      <c r="L266" s="109">
        <f t="shared" si="56"/>
        <v>0</v>
      </c>
    </row>
    <row r="267" spans="1:14" s="161" customFormat="1" ht="18" hidden="1">
      <c r="A267" s="104" t="s">
        <v>79</v>
      </c>
      <c r="B267" s="106" t="s">
        <v>112</v>
      </c>
      <c r="C267" s="179" t="s">
        <v>66</v>
      </c>
      <c r="D267" s="179" t="s">
        <v>89</v>
      </c>
      <c r="E267" s="107" t="s">
        <v>212</v>
      </c>
      <c r="F267" s="107" t="s">
        <v>157</v>
      </c>
      <c r="G267" s="107" t="s">
        <v>149</v>
      </c>
      <c r="H267" s="107" t="s">
        <v>229</v>
      </c>
      <c r="I267" s="106" t="s">
        <v>80</v>
      </c>
      <c r="J267" s="109">
        <f>(35+12)-47</f>
        <v>0</v>
      </c>
      <c r="K267" s="109">
        <f>(35+12)-47</f>
        <v>0</v>
      </c>
      <c r="L267" s="109">
        <f>(35+12)-47</f>
        <v>0</v>
      </c>
      <c r="M267" s="159" t="s">
        <v>287</v>
      </c>
      <c r="N267" s="177" t="s">
        <v>287</v>
      </c>
    </row>
    <row r="268" spans="1:12" s="161" customFormat="1" ht="18" thickBot="1">
      <c r="A268" s="209" t="s">
        <v>106</v>
      </c>
      <c r="B268" s="210"/>
      <c r="C268" s="211"/>
      <c r="D268" s="211"/>
      <c r="E268" s="211"/>
      <c r="F268" s="211"/>
      <c r="G268" s="211"/>
      <c r="H268" s="211"/>
      <c r="I268" s="211"/>
      <c r="J268" s="212">
        <f>J14+J44+J155+J165+J252</f>
        <v>70038.20000000001</v>
      </c>
      <c r="K268" s="212">
        <f>K14+K44+K155+K165+K252</f>
        <v>71825.99250000001</v>
      </c>
      <c r="L268" s="212">
        <f>L14+L44+L155+L165+L252</f>
        <v>73648.685</v>
      </c>
    </row>
    <row r="271" spans="1:2" ht="18">
      <c r="A271" s="217" t="s">
        <v>292</v>
      </c>
      <c r="B271" s="217"/>
    </row>
    <row r="272" spans="1:11" ht="18">
      <c r="A272" s="217" t="s">
        <v>294</v>
      </c>
      <c r="B272" s="217"/>
      <c r="I272" s="217"/>
      <c r="J272" s="217" t="s">
        <v>293</v>
      </c>
      <c r="K272" s="217"/>
    </row>
  </sheetData>
  <sheetProtection/>
  <mergeCells count="15">
    <mergeCell ref="A8:L8"/>
    <mergeCell ref="A9:I9"/>
    <mergeCell ref="A11:A12"/>
    <mergeCell ref="E11:H12"/>
    <mergeCell ref="I11:I12"/>
    <mergeCell ref="E13:H13"/>
    <mergeCell ref="B11:B12"/>
    <mergeCell ref="C11:C12"/>
    <mergeCell ref="D11:D12"/>
    <mergeCell ref="J11:J12"/>
    <mergeCell ref="F1:L1"/>
    <mergeCell ref="F2:L2"/>
    <mergeCell ref="F3:L3"/>
    <mergeCell ref="F4:L4"/>
    <mergeCell ref="K11:L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view="pageBreakPreview" zoomScale="75" zoomScaleSheetLayoutView="75" zoomScalePageLayoutView="0" workbookViewId="0" topLeftCell="A1">
      <selection activeCell="D7" sqref="D7:D8"/>
    </sheetView>
  </sheetViews>
  <sheetFormatPr defaultColWidth="9.140625" defaultRowHeight="15"/>
  <cols>
    <col min="1" max="1" width="20.28125" style="115" customWidth="1"/>
    <col min="2" max="2" width="13.421875" style="3" customWidth="1"/>
    <col min="3" max="3" width="12.140625" style="3" customWidth="1"/>
    <col min="4" max="4" width="15.8515625" style="3" customWidth="1"/>
    <col min="5" max="5" width="13.00390625" style="3" customWidth="1"/>
    <col min="6" max="6" width="12.00390625" style="3" customWidth="1"/>
    <col min="7" max="7" width="10.8515625" style="3" customWidth="1"/>
    <col min="8" max="8" width="7.8515625" style="3" hidden="1" customWidth="1"/>
    <col min="9" max="9" width="9.140625" style="3" customWidth="1"/>
    <col min="10" max="10" width="8.140625" style="3" hidden="1" customWidth="1"/>
    <col min="11" max="11" width="18.421875" style="4" customWidth="1"/>
    <col min="12" max="12" width="13.57421875" style="3" customWidth="1"/>
    <col min="13" max="13" width="11.421875" style="3" customWidth="1"/>
    <col min="14" max="14" width="11.57421875" style="3" customWidth="1"/>
    <col min="15" max="15" width="11.8515625" style="3" hidden="1" customWidth="1"/>
    <col min="16" max="16" width="0" style="3" hidden="1" customWidth="1"/>
    <col min="17" max="17" width="10.28125" style="3" hidden="1" customWidth="1"/>
    <col min="18" max="18" width="17.28125" style="31" customWidth="1"/>
    <col min="19" max="19" width="17.140625" style="3" customWidth="1"/>
    <col min="20" max="20" width="13.28125" style="3" customWidth="1"/>
    <col min="21" max="21" width="10.8515625" style="3" customWidth="1"/>
    <col min="22" max="22" width="10.28125" style="3" customWidth="1"/>
    <col min="23" max="23" width="9.7109375" style="3" hidden="1" customWidth="1"/>
    <col min="24" max="24" width="9.57421875" style="3" hidden="1" customWidth="1"/>
    <col min="25" max="25" width="10.421875" style="3" customWidth="1"/>
    <col min="26" max="26" width="15.7109375" style="3" customWidth="1"/>
    <col min="27" max="27" width="12.28125" style="3" customWidth="1"/>
    <col min="28" max="28" width="9.140625" style="3" customWidth="1"/>
    <col min="29" max="29" width="11.57421875" style="3" customWidth="1"/>
    <col min="30" max="30" width="8.00390625" style="3" hidden="1" customWidth="1"/>
    <col min="31" max="31" width="7.57421875" style="3" hidden="1" customWidth="1"/>
    <col min="32" max="32" width="17.421875" style="31" customWidth="1"/>
    <col min="33" max="33" width="12.00390625" style="3" customWidth="1"/>
    <col min="34" max="34" width="13.00390625" style="3" customWidth="1"/>
    <col min="35" max="35" width="11.421875" style="3" customWidth="1"/>
    <col min="36" max="36" width="10.57421875" style="3" hidden="1" customWidth="1"/>
    <col min="37" max="37" width="7.57421875" style="3" hidden="1" customWidth="1"/>
    <col min="38" max="38" width="11.00390625" style="3" customWidth="1"/>
    <col min="39" max="39" width="18.140625" style="2" customWidth="1"/>
    <col min="40" max="40" width="12.140625" style="2" customWidth="1"/>
    <col min="41" max="41" width="9.8515625" style="3" customWidth="1"/>
    <col min="42" max="42" width="11.00390625" style="3" customWidth="1"/>
    <col min="43" max="43" width="11.7109375" style="3" hidden="1" customWidth="1"/>
    <col min="44" max="44" width="7.57421875" style="3" hidden="1" customWidth="1"/>
    <col min="45" max="16384" width="9.140625" style="3" customWidth="1"/>
  </cols>
  <sheetData>
    <row r="1" spans="1:38" ht="31.5" customHeight="1">
      <c r="A1" s="278" t="s">
        <v>235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1"/>
      <c r="AH1" s="1"/>
      <c r="AI1" s="1"/>
      <c r="AJ1" s="1"/>
      <c r="AK1" s="1"/>
      <c r="AL1" s="1"/>
    </row>
    <row r="2" spans="1:18" ht="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1"/>
      <c r="R2" s="44"/>
    </row>
    <row r="3" spans="32:38" ht="15.75" thickBot="1">
      <c r="AF3" s="116" t="s">
        <v>0</v>
      </c>
      <c r="AG3" s="5"/>
      <c r="AH3" s="5"/>
      <c r="AI3" s="5"/>
      <c r="AJ3" s="5"/>
      <c r="AK3" s="5"/>
      <c r="AL3" s="5"/>
    </row>
    <row r="4" spans="1:44" ht="19.5" customHeight="1" thickBot="1">
      <c r="A4" s="279" t="s">
        <v>30</v>
      </c>
      <c r="B4" s="282" t="s">
        <v>2</v>
      </c>
      <c r="C4" s="283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117"/>
      <c r="R4" s="288" t="s">
        <v>4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9"/>
    </row>
    <row r="5" spans="1:44" s="40" customFormat="1" ht="36" customHeight="1" thickBot="1">
      <c r="A5" s="280"/>
      <c r="B5" s="284"/>
      <c r="C5" s="285"/>
      <c r="D5" s="290" t="s">
        <v>2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118"/>
      <c r="R5" s="292" t="s">
        <v>230</v>
      </c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3"/>
      <c r="AF5" s="294" t="s">
        <v>233</v>
      </c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6"/>
    </row>
    <row r="6" spans="1:44" ht="19.5" customHeight="1" thickBot="1">
      <c r="A6" s="280"/>
      <c r="B6" s="28"/>
      <c r="C6" s="29"/>
      <c r="D6" s="297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11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69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1"/>
    </row>
    <row r="7" spans="1:44" ht="42.75" customHeight="1">
      <c r="A7" s="280"/>
      <c r="B7" s="272">
        <v>2</v>
      </c>
      <c r="C7" s="272" t="s">
        <v>38</v>
      </c>
      <c r="D7" s="264" t="s">
        <v>39</v>
      </c>
      <c r="E7" s="274" t="s">
        <v>40</v>
      </c>
      <c r="F7" s="276" t="s">
        <v>9</v>
      </c>
      <c r="G7" s="249" t="s">
        <v>41</v>
      </c>
      <c r="H7" s="249"/>
      <c r="I7" s="249"/>
      <c r="J7" s="250"/>
      <c r="K7" s="244" t="s">
        <v>42</v>
      </c>
      <c r="L7" s="246" t="s">
        <v>43</v>
      </c>
      <c r="M7" s="248" t="s">
        <v>44</v>
      </c>
      <c r="N7" s="249"/>
      <c r="O7" s="249"/>
      <c r="P7" s="249"/>
      <c r="Q7" s="120"/>
      <c r="R7" s="121"/>
      <c r="S7" s="251" t="s">
        <v>45</v>
      </c>
      <c r="T7" s="253" t="s">
        <v>46</v>
      </c>
      <c r="U7" s="254"/>
      <c r="V7" s="255" t="s">
        <v>20</v>
      </c>
      <c r="W7" s="256"/>
      <c r="X7" s="256"/>
      <c r="Y7" s="257"/>
      <c r="Z7" s="258" t="s">
        <v>42</v>
      </c>
      <c r="AA7" s="259" t="s">
        <v>43</v>
      </c>
      <c r="AB7" s="261" t="s">
        <v>44</v>
      </c>
      <c r="AC7" s="262"/>
      <c r="AD7" s="262"/>
      <c r="AE7" s="263"/>
      <c r="AF7" s="264" t="s">
        <v>45</v>
      </c>
      <c r="AG7" s="265" t="s">
        <v>8</v>
      </c>
      <c r="AH7" s="265"/>
      <c r="AI7" s="266" t="s">
        <v>58</v>
      </c>
      <c r="AJ7" s="267"/>
      <c r="AK7" s="267"/>
      <c r="AL7" s="268"/>
      <c r="AM7" s="244" t="s">
        <v>42</v>
      </c>
      <c r="AN7" s="246" t="s">
        <v>43</v>
      </c>
      <c r="AO7" s="248" t="s">
        <v>44</v>
      </c>
      <c r="AP7" s="249"/>
      <c r="AQ7" s="249"/>
      <c r="AR7" s="250"/>
    </row>
    <row r="8" spans="1:44" ht="173.25" customHeight="1">
      <c r="A8" s="281"/>
      <c r="B8" s="273"/>
      <c r="C8" s="273"/>
      <c r="D8" s="252"/>
      <c r="E8" s="275"/>
      <c r="F8" s="277"/>
      <c r="G8" s="42" t="s">
        <v>47</v>
      </c>
      <c r="H8" s="46" t="s">
        <v>236</v>
      </c>
      <c r="I8" s="46" t="s">
        <v>57</v>
      </c>
      <c r="J8" s="46" t="s">
        <v>49</v>
      </c>
      <c r="K8" s="245"/>
      <c r="L8" s="247"/>
      <c r="M8" s="46" t="s">
        <v>50</v>
      </c>
      <c r="N8" s="46" t="s">
        <v>51</v>
      </c>
      <c r="O8" s="46" t="s">
        <v>52</v>
      </c>
      <c r="P8" s="41" t="s">
        <v>53</v>
      </c>
      <c r="Q8" s="120"/>
      <c r="R8" s="122"/>
      <c r="S8" s="252"/>
      <c r="T8" s="6" t="s">
        <v>40</v>
      </c>
      <c r="U8" s="7" t="s">
        <v>9</v>
      </c>
      <c r="V8" s="43" t="s">
        <v>54</v>
      </c>
      <c r="W8" s="43" t="s">
        <v>48</v>
      </c>
      <c r="X8" s="123" t="s">
        <v>49</v>
      </c>
      <c r="Y8" s="43" t="s">
        <v>57</v>
      </c>
      <c r="Z8" s="245"/>
      <c r="AA8" s="260"/>
      <c r="AB8" s="123" t="s">
        <v>55</v>
      </c>
      <c r="AC8" s="123" t="s">
        <v>51</v>
      </c>
      <c r="AD8" s="123" t="s">
        <v>52</v>
      </c>
      <c r="AE8" s="123" t="s">
        <v>53</v>
      </c>
      <c r="AF8" s="252"/>
      <c r="AG8" s="8" t="s">
        <v>40</v>
      </c>
      <c r="AH8" s="9" t="s">
        <v>9</v>
      </c>
      <c r="AI8" s="10" t="s">
        <v>54</v>
      </c>
      <c r="AJ8" s="46" t="s">
        <v>48</v>
      </c>
      <c r="AK8" s="46" t="s">
        <v>49</v>
      </c>
      <c r="AL8" s="45" t="s">
        <v>57</v>
      </c>
      <c r="AM8" s="245"/>
      <c r="AN8" s="247"/>
      <c r="AO8" s="46" t="s">
        <v>55</v>
      </c>
      <c r="AP8" s="46" t="s">
        <v>51</v>
      </c>
      <c r="AQ8" s="46" t="s">
        <v>52</v>
      </c>
      <c r="AR8" s="46" t="s">
        <v>53</v>
      </c>
    </row>
    <row r="9" spans="1:44" ht="9" customHeight="1">
      <c r="A9" s="123"/>
      <c r="B9" s="11"/>
      <c r="C9" s="11"/>
      <c r="D9" s="12"/>
      <c r="E9" s="13"/>
      <c r="F9" s="14"/>
      <c r="G9" s="46"/>
      <c r="H9" s="46"/>
      <c r="I9" s="46"/>
      <c r="J9" s="46"/>
      <c r="K9" s="15"/>
      <c r="L9" s="16"/>
      <c r="M9" s="46"/>
      <c r="N9" s="46"/>
      <c r="O9" s="46"/>
      <c r="P9" s="41"/>
      <c r="Q9" s="120"/>
      <c r="R9" s="124"/>
      <c r="S9" s="125"/>
      <c r="T9" s="17"/>
      <c r="U9" s="18"/>
      <c r="V9" s="10"/>
      <c r="W9" s="10"/>
      <c r="X9" s="10"/>
      <c r="Y9" s="10"/>
      <c r="Z9" s="19"/>
      <c r="AA9" s="20"/>
      <c r="AB9" s="10"/>
      <c r="AC9" s="10"/>
      <c r="AD9" s="10"/>
      <c r="AE9" s="10"/>
      <c r="AF9" s="125"/>
      <c r="AG9" s="21"/>
      <c r="AH9" s="22"/>
      <c r="AI9" s="23"/>
      <c r="AJ9" s="23"/>
      <c r="AK9" s="23"/>
      <c r="AL9" s="23"/>
      <c r="AM9" s="19"/>
      <c r="AN9" s="20"/>
      <c r="AO9" s="10"/>
      <c r="AP9" s="10"/>
      <c r="AQ9" s="10"/>
      <c r="AR9" s="10"/>
    </row>
    <row r="10" spans="1:44" s="24" customFormat="1" ht="71.25" customHeight="1">
      <c r="A10" s="126" t="s">
        <v>231</v>
      </c>
      <c r="B10" s="32">
        <f>K10</f>
        <v>70038.20000000001</v>
      </c>
      <c r="C10" s="32">
        <v>0</v>
      </c>
      <c r="D10" s="127">
        <f>E10+F10</f>
        <v>70038.20000000001</v>
      </c>
      <c r="E10" s="128">
        <f>66979.8+1367.3</f>
        <v>68347.1</v>
      </c>
      <c r="F10" s="129">
        <f aca="true" t="shared" si="0" ref="F10:F16">G10+H10+I10+J10</f>
        <v>1691.1</v>
      </c>
      <c r="G10" s="130">
        <f>1691.1</f>
        <v>1691.1</v>
      </c>
      <c r="H10" s="130"/>
      <c r="I10" s="130">
        <f>0</f>
        <v>0</v>
      </c>
      <c r="J10" s="130"/>
      <c r="K10" s="131">
        <f>66979.8+1367.3+1691.1</f>
        <v>70038.20000000001</v>
      </c>
      <c r="L10" s="34">
        <f>M10+N10+O10+P10</f>
        <v>0</v>
      </c>
      <c r="M10" s="33">
        <v>0</v>
      </c>
      <c r="N10" s="33">
        <v>0</v>
      </c>
      <c r="O10" s="33">
        <v>0</v>
      </c>
      <c r="P10" s="132">
        <v>0</v>
      </c>
      <c r="Q10" s="133"/>
      <c r="R10" s="134" t="s">
        <v>56</v>
      </c>
      <c r="S10" s="135">
        <f>T10+U10</f>
        <v>71826</v>
      </c>
      <c r="T10" s="136">
        <f>70055.8</f>
        <v>70055.8</v>
      </c>
      <c r="U10" s="137">
        <f aca="true" t="shared" si="1" ref="U10:U16">V10+W10+X10+Y10</f>
        <v>1770.2</v>
      </c>
      <c r="V10" s="138">
        <f>1770.2</f>
        <v>1770.2</v>
      </c>
      <c r="W10" s="138">
        <v>0</v>
      </c>
      <c r="X10" s="138">
        <v>0</v>
      </c>
      <c r="Y10" s="138">
        <v>0</v>
      </c>
      <c r="Z10" s="131">
        <f>70055.8+1770.2</f>
        <v>71826</v>
      </c>
      <c r="AA10" s="34">
        <f>AB10+AC10+AD10+AE10</f>
        <v>0</v>
      </c>
      <c r="AB10" s="33">
        <v>0</v>
      </c>
      <c r="AC10" s="33">
        <v>0</v>
      </c>
      <c r="AD10" s="33">
        <v>0</v>
      </c>
      <c r="AE10" s="33">
        <v>0</v>
      </c>
      <c r="AF10" s="135">
        <f aca="true" t="shared" si="2" ref="AF10:AF16">AG10+AH10</f>
        <v>73648.7</v>
      </c>
      <c r="AG10" s="136">
        <f>71807.2</f>
        <v>71807.2</v>
      </c>
      <c r="AH10" s="137">
        <f aca="true" t="shared" si="3" ref="AH10:AH16">AI10+AJ10+AK10+AL10</f>
        <v>1841.5</v>
      </c>
      <c r="AI10" s="138">
        <f>1841.5</f>
        <v>1841.5</v>
      </c>
      <c r="AJ10" s="138">
        <v>0</v>
      </c>
      <c r="AK10" s="138">
        <v>0</v>
      </c>
      <c r="AL10" s="138">
        <f>0</f>
        <v>0</v>
      </c>
      <c r="AM10" s="131">
        <f>73648.7</f>
        <v>73648.7</v>
      </c>
      <c r="AN10" s="34">
        <f>AO10+AP10+AQ10+AR10</f>
        <v>0</v>
      </c>
      <c r="AO10" s="139">
        <v>0</v>
      </c>
      <c r="AP10" s="33">
        <v>0</v>
      </c>
      <c r="AQ10" s="33">
        <v>0</v>
      </c>
      <c r="AR10" s="33">
        <v>0</v>
      </c>
    </row>
    <row r="11" spans="1:44" s="24" customFormat="1" ht="101.25" customHeight="1" hidden="1">
      <c r="A11" s="126" t="s">
        <v>31</v>
      </c>
      <c r="B11" s="32">
        <f>K11</f>
        <v>4502.4</v>
      </c>
      <c r="C11" s="32">
        <f>L11</f>
        <v>1528.6</v>
      </c>
      <c r="D11" s="127">
        <f aca="true" t="shared" si="4" ref="D11:D16">E11+F11</f>
        <v>4502.4</v>
      </c>
      <c r="E11" s="128">
        <f>4235</f>
        <v>4235</v>
      </c>
      <c r="F11" s="129">
        <f t="shared" si="0"/>
        <v>267.4</v>
      </c>
      <c r="G11" s="130">
        <v>113.5</v>
      </c>
      <c r="H11" s="130">
        <v>0</v>
      </c>
      <c r="I11" s="130">
        <v>153.9</v>
      </c>
      <c r="J11" s="130">
        <v>0</v>
      </c>
      <c r="K11" s="131">
        <f>4235+113.5+153.9</f>
        <v>4502.4</v>
      </c>
      <c r="L11" s="34">
        <f aca="true" t="shared" si="5" ref="L11:L16">M11+N11+O11+P11</f>
        <v>1528.6</v>
      </c>
      <c r="M11" s="33">
        <f>28.6</f>
        <v>28.6</v>
      </c>
      <c r="N11" s="33">
        <f>1500</f>
        <v>1500</v>
      </c>
      <c r="O11" s="33">
        <v>0</v>
      </c>
      <c r="P11" s="132">
        <v>0</v>
      </c>
      <c r="Q11" s="133"/>
      <c r="R11" s="134" t="s">
        <v>31</v>
      </c>
      <c r="S11" s="135">
        <f aca="true" t="shared" si="6" ref="S11:S16">T11+U11</f>
        <v>4613.599999999999</v>
      </c>
      <c r="T11" s="136">
        <v>4340.9</v>
      </c>
      <c r="U11" s="137">
        <f t="shared" si="1"/>
        <v>272.7</v>
      </c>
      <c r="V11" s="138">
        <v>118.8</v>
      </c>
      <c r="W11" s="138">
        <f>0</f>
        <v>0</v>
      </c>
      <c r="X11" s="138">
        <v>0</v>
      </c>
      <c r="Y11" s="140">
        <v>153.9</v>
      </c>
      <c r="Z11" s="141">
        <f>4613.6</f>
        <v>4613.6</v>
      </c>
      <c r="AA11" s="34">
        <f aca="true" t="shared" si="7" ref="AA11:AA16">AB11+AC11+AD11+AE11</f>
        <v>1528.6</v>
      </c>
      <c r="AB11" s="33">
        <f>28.6</f>
        <v>28.6</v>
      </c>
      <c r="AC11" s="33">
        <f>1500</f>
        <v>1500</v>
      </c>
      <c r="AD11" s="33">
        <v>0</v>
      </c>
      <c r="AE11" s="33">
        <v>0</v>
      </c>
      <c r="AF11" s="135">
        <f t="shared" si="2"/>
        <v>4724.3</v>
      </c>
      <c r="AG11" s="136">
        <f>4446.8</f>
        <v>4446.8</v>
      </c>
      <c r="AH11" s="137">
        <f t="shared" si="3"/>
        <v>277.5</v>
      </c>
      <c r="AI11" s="138">
        <f>123.6</f>
        <v>123.6</v>
      </c>
      <c r="AJ11" s="138">
        <v>0</v>
      </c>
      <c r="AK11" s="142">
        <v>0</v>
      </c>
      <c r="AL11" s="33">
        <v>153.9</v>
      </c>
      <c r="AM11" s="131">
        <f>4724.3</f>
        <v>4724.3</v>
      </c>
      <c r="AN11" s="34">
        <f aca="true" t="shared" si="8" ref="AN11:AN16">AO11+AP11+AQ11+AR11</f>
        <v>1528.6</v>
      </c>
      <c r="AO11" s="139">
        <f>28.6</f>
        <v>28.6</v>
      </c>
      <c r="AP11" s="33">
        <f>1500</f>
        <v>1500</v>
      </c>
      <c r="AQ11" s="33">
        <v>0</v>
      </c>
      <c r="AR11" s="33">
        <v>0</v>
      </c>
    </row>
    <row r="12" spans="1:44" s="24" customFormat="1" ht="73.5" customHeight="1" hidden="1">
      <c r="A12" s="126" t="s">
        <v>32</v>
      </c>
      <c r="B12" s="32">
        <f aca="true" t="shared" si="9" ref="B12:C16">K12</f>
        <v>4230.3</v>
      </c>
      <c r="C12" s="32">
        <f t="shared" si="9"/>
        <v>1231.2</v>
      </c>
      <c r="D12" s="127">
        <f t="shared" si="4"/>
        <v>4230.3</v>
      </c>
      <c r="E12" s="128">
        <f>3970</f>
        <v>3970</v>
      </c>
      <c r="F12" s="129">
        <f t="shared" si="0"/>
        <v>260.3</v>
      </c>
      <c r="G12" s="130">
        <v>106.4</v>
      </c>
      <c r="H12" s="130">
        <v>0</v>
      </c>
      <c r="I12" s="130">
        <f>153.9</f>
        <v>153.9</v>
      </c>
      <c r="J12" s="130">
        <f>0</f>
        <v>0</v>
      </c>
      <c r="K12" s="131">
        <f>3970+106.4+153.9</f>
        <v>4230.3</v>
      </c>
      <c r="L12" s="34">
        <f t="shared" si="5"/>
        <v>1231.2</v>
      </c>
      <c r="M12" s="33">
        <v>31.2</v>
      </c>
      <c r="N12" s="33">
        <v>1200</v>
      </c>
      <c r="O12" s="33">
        <v>0</v>
      </c>
      <c r="P12" s="132">
        <f>0</f>
        <v>0</v>
      </c>
      <c r="Q12" s="133"/>
      <c r="R12" s="134" t="s">
        <v>32</v>
      </c>
      <c r="S12" s="135">
        <f t="shared" si="6"/>
        <v>4334.6</v>
      </c>
      <c r="T12" s="136">
        <f>4069.3</f>
        <v>4069.3</v>
      </c>
      <c r="U12" s="137">
        <f t="shared" si="1"/>
        <v>265.3</v>
      </c>
      <c r="V12" s="138">
        <f>111.4</f>
        <v>111.4</v>
      </c>
      <c r="W12" s="138">
        <v>0</v>
      </c>
      <c r="X12" s="138">
        <v>0</v>
      </c>
      <c r="Y12" s="138">
        <v>153.9</v>
      </c>
      <c r="Z12" s="131">
        <f>4334.6</f>
        <v>4334.6</v>
      </c>
      <c r="AA12" s="34">
        <f t="shared" si="7"/>
        <v>1231.2</v>
      </c>
      <c r="AB12" s="33">
        <v>31.2</v>
      </c>
      <c r="AC12" s="33">
        <v>1200</v>
      </c>
      <c r="AD12" s="33">
        <v>0</v>
      </c>
      <c r="AE12" s="33">
        <f>0</f>
        <v>0</v>
      </c>
      <c r="AF12" s="135">
        <f t="shared" si="2"/>
        <v>4438.3</v>
      </c>
      <c r="AG12" s="136">
        <f>4168.5</f>
        <v>4168.5</v>
      </c>
      <c r="AH12" s="137">
        <f t="shared" si="3"/>
        <v>269.8</v>
      </c>
      <c r="AI12" s="138">
        <f>115.9</f>
        <v>115.9</v>
      </c>
      <c r="AJ12" s="138">
        <v>0</v>
      </c>
      <c r="AK12" s="138">
        <f>0</f>
        <v>0</v>
      </c>
      <c r="AL12" s="138">
        <v>153.9</v>
      </c>
      <c r="AM12" s="131">
        <f>4438.3</f>
        <v>4438.3</v>
      </c>
      <c r="AN12" s="34">
        <f t="shared" si="8"/>
        <v>1231.2</v>
      </c>
      <c r="AO12" s="139">
        <v>31.2</v>
      </c>
      <c r="AP12" s="33">
        <v>1200</v>
      </c>
      <c r="AQ12" s="33">
        <v>0</v>
      </c>
      <c r="AR12" s="33">
        <f>0</f>
        <v>0</v>
      </c>
    </row>
    <row r="13" spans="1:44" s="24" customFormat="1" ht="87.75" customHeight="1" hidden="1">
      <c r="A13" s="126" t="s">
        <v>33</v>
      </c>
      <c r="B13" s="32">
        <f t="shared" si="9"/>
        <v>3290.5</v>
      </c>
      <c r="C13" s="32">
        <f t="shared" si="9"/>
        <v>822</v>
      </c>
      <c r="D13" s="127">
        <f t="shared" si="4"/>
        <v>3290.5</v>
      </c>
      <c r="E13" s="128">
        <f>3042</f>
        <v>3042</v>
      </c>
      <c r="F13" s="129">
        <f t="shared" si="0"/>
        <v>248.5</v>
      </c>
      <c r="G13" s="130">
        <f>94.6</f>
        <v>94.6</v>
      </c>
      <c r="H13" s="130">
        <v>0</v>
      </c>
      <c r="I13" s="130">
        <v>153.9</v>
      </c>
      <c r="J13" s="130">
        <v>0</v>
      </c>
      <c r="K13" s="131">
        <f>3042+94.6+153.9</f>
        <v>3290.5</v>
      </c>
      <c r="L13" s="34">
        <f t="shared" si="5"/>
        <v>822</v>
      </c>
      <c r="M13" s="33">
        <v>22</v>
      </c>
      <c r="N13" s="33">
        <v>800</v>
      </c>
      <c r="O13" s="33">
        <v>0</v>
      </c>
      <c r="P13" s="132">
        <v>0</v>
      </c>
      <c r="Q13" s="133"/>
      <c r="R13" s="134" t="s">
        <v>33</v>
      </c>
      <c r="S13" s="135">
        <f t="shared" si="6"/>
        <v>3371</v>
      </c>
      <c r="T13" s="136">
        <f>3118.1</f>
        <v>3118.1</v>
      </c>
      <c r="U13" s="137">
        <f t="shared" si="1"/>
        <v>252.9</v>
      </c>
      <c r="V13" s="138">
        <f>99</f>
        <v>99</v>
      </c>
      <c r="W13" s="138">
        <v>0</v>
      </c>
      <c r="X13" s="138">
        <v>0</v>
      </c>
      <c r="Y13" s="138">
        <v>153.9</v>
      </c>
      <c r="Z13" s="131">
        <f>3371</f>
        <v>3371</v>
      </c>
      <c r="AA13" s="34">
        <f t="shared" si="7"/>
        <v>822</v>
      </c>
      <c r="AB13" s="33">
        <v>22</v>
      </c>
      <c r="AC13" s="33">
        <v>800</v>
      </c>
      <c r="AD13" s="33">
        <v>0</v>
      </c>
      <c r="AE13" s="33">
        <v>0</v>
      </c>
      <c r="AF13" s="135">
        <f t="shared" si="2"/>
        <v>3451</v>
      </c>
      <c r="AG13" s="136">
        <f>3194.1</f>
        <v>3194.1</v>
      </c>
      <c r="AH13" s="137">
        <f t="shared" si="3"/>
        <v>256.9</v>
      </c>
      <c r="AI13" s="138">
        <f>103</f>
        <v>103</v>
      </c>
      <c r="AJ13" s="138">
        <f>0</f>
        <v>0</v>
      </c>
      <c r="AK13" s="138">
        <v>0</v>
      </c>
      <c r="AL13" s="138">
        <v>153.9</v>
      </c>
      <c r="AM13" s="131">
        <f>3451</f>
        <v>3451</v>
      </c>
      <c r="AN13" s="34">
        <f t="shared" si="8"/>
        <v>822</v>
      </c>
      <c r="AO13" s="139">
        <v>22</v>
      </c>
      <c r="AP13" s="33">
        <v>800</v>
      </c>
      <c r="AQ13" s="33">
        <v>0</v>
      </c>
      <c r="AR13" s="33">
        <v>0</v>
      </c>
    </row>
    <row r="14" spans="1:44" s="24" customFormat="1" ht="78" customHeight="1" hidden="1">
      <c r="A14" s="126" t="s">
        <v>34</v>
      </c>
      <c r="B14" s="32">
        <f t="shared" si="9"/>
        <v>4913.5</v>
      </c>
      <c r="C14" s="32">
        <f t="shared" si="9"/>
        <v>1336</v>
      </c>
      <c r="D14" s="127">
        <f t="shared" si="4"/>
        <v>4913.5</v>
      </c>
      <c r="E14" s="128">
        <f>4639</f>
        <v>4639</v>
      </c>
      <c r="F14" s="129">
        <f t="shared" si="0"/>
        <v>274.5</v>
      </c>
      <c r="G14" s="130">
        <f>120.6</f>
        <v>120.6</v>
      </c>
      <c r="H14" s="130">
        <v>0</v>
      </c>
      <c r="I14" s="130">
        <v>153.9</v>
      </c>
      <c r="J14" s="130">
        <v>0</v>
      </c>
      <c r="K14" s="131">
        <f>4639+120.6+153.9</f>
        <v>4913.5</v>
      </c>
      <c r="L14" s="34">
        <f t="shared" si="5"/>
        <v>1336</v>
      </c>
      <c r="M14" s="33">
        <v>36</v>
      </c>
      <c r="N14" s="33">
        <v>1300</v>
      </c>
      <c r="O14" s="33">
        <v>0</v>
      </c>
      <c r="P14" s="132">
        <v>0</v>
      </c>
      <c r="Q14" s="133"/>
      <c r="R14" s="134" t="s">
        <v>34</v>
      </c>
      <c r="S14" s="135">
        <f t="shared" si="6"/>
        <v>5035.2</v>
      </c>
      <c r="T14" s="136">
        <f>4755</f>
        <v>4755</v>
      </c>
      <c r="U14" s="137">
        <f t="shared" si="1"/>
        <v>280.2</v>
      </c>
      <c r="V14" s="138">
        <f>126.3</f>
        <v>126.3</v>
      </c>
      <c r="W14" s="138">
        <v>0</v>
      </c>
      <c r="X14" s="138">
        <v>0</v>
      </c>
      <c r="Y14" s="138">
        <v>153.9</v>
      </c>
      <c r="Z14" s="131">
        <f>5035.2</f>
        <v>5035.2</v>
      </c>
      <c r="AA14" s="34">
        <f t="shared" si="7"/>
        <v>1336</v>
      </c>
      <c r="AB14" s="33">
        <v>36</v>
      </c>
      <c r="AC14" s="33">
        <v>1300</v>
      </c>
      <c r="AD14" s="33">
        <v>0</v>
      </c>
      <c r="AE14" s="33">
        <v>0</v>
      </c>
      <c r="AF14" s="135">
        <f t="shared" si="2"/>
        <v>5156.3</v>
      </c>
      <c r="AG14" s="136">
        <f>4871</f>
        <v>4871</v>
      </c>
      <c r="AH14" s="137">
        <f t="shared" si="3"/>
        <v>285.3</v>
      </c>
      <c r="AI14" s="138">
        <f>131.4</f>
        <v>131.4</v>
      </c>
      <c r="AJ14" s="138">
        <f>0</f>
        <v>0</v>
      </c>
      <c r="AK14" s="138">
        <f>0</f>
        <v>0</v>
      </c>
      <c r="AL14" s="138">
        <v>153.9</v>
      </c>
      <c r="AM14" s="131">
        <f>5156.2</f>
        <v>5156.2</v>
      </c>
      <c r="AN14" s="34">
        <f t="shared" si="8"/>
        <v>1336</v>
      </c>
      <c r="AO14" s="139">
        <v>36</v>
      </c>
      <c r="AP14" s="33">
        <v>1300</v>
      </c>
      <c r="AQ14" s="33">
        <v>0</v>
      </c>
      <c r="AR14" s="33">
        <v>0</v>
      </c>
    </row>
    <row r="15" spans="1:44" s="24" customFormat="1" ht="87.75" customHeight="1" hidden="1">
      <c r="A15" s="126" t="s">
        <v>35</v>
      </c>
      <c r="B15" s="32">
        <f t="shared" si="9"/>
        <v>3219.1</v>
      </c>
      <c r="C15" s="32">
        <f t="shared" si="9"/>
        <v>524</v>
      </c>
      <c r="D15" s="127">
        <f t="shared" si="4"/>
        <v>3219.1</v>
      </c>
      <c r="E15" s="128">
        <f>2937.5</f>
        <v>2937.5</v>
      </c>
      <c r="F15" s="129">
        <f t="shared" si="0"/>
        <v>281.6</v>
      </c>
      <c r="G15" s="130">
        <f>127.7</f>
        <v>127.7</v>
      </c>
      <c r="H15" s="130">
        <v>0</v>
      </c>
      <c r="I15" s="130">
        <v>153.9</v>
      </c>
      <c r="J15" s="130">
        <f>0</f>
        <v>0</v>
      </c>
      <c r="K15" s="131">
        <f>2937.5+127.7+153.9</f>
        <v>3219.1</v>
      </c>
      <c r="L15" s="34">
        <f t="shared" si="5"/>
        <v>524</v>
      </c>
      <c r="M15" s="33">
        <v>24</v>
      </c>
      <c r="N15" s="33">
        <v>500</v>
      </c>
      <c r="O15" s="33">
        <v>0</v>
      </c>
      <c r="P15" s="132">
        <v>0</v>
      </c>
      <c r="Q15" s="133"/>
      <c r="R15" s="134" t="s">
        <v>35</v>
      </c>
      <c r="S15" s="135">
        <f t="shared" si="6"/>
        <v>3298.5</v>
      </c>
      <c r="T15" s="136">
        <f>3010.9</f>
        <v>3010.9</v>
      </c>
      <c r="U15" s="137">
        <f t="shared" si="1"/>
        <v>287.6</v>
      </c>
      <c r="V15" s="138">
        <f>133.7</f>
        <v>133.7</v>
      </c>
      <c r="W15" s="138">
        <v>0</v>
      </c>
      <c r="X15" s="138">
        <v>0</v>
      </c>
      <c r="Y15" s="138">
        <v>153.9</v>
      </c>
      <c r="Z15" s="131">
        <f>3298.5</f>
        <v>3298.5</v>
      </c>
      <c r="AA15" s="34">
        <f t="shared" si="7"/>
        <v>524</v>
      </c>
      <c r="AB15" s="33">
        <v>24</v>
      </c>
      <c r="AC15" s="33">
        <v>500</v>
      </c>
      <c r="AD15" s="33">
        <v>0</v>
      </c>
      <c r="AE15" s="33">
        <v>0</v>
      </c>
      <c r="AF15" s="135">
        <f t="shared" si="2"/>
        <v>3377.4</v>
      </c>
      <c r="AG15" s="136">
        <f>3084.4</f>
        <v>3084.4</v>
      </c>
      <c r="AH15" s="137">
        <f t="shared" si="3"/>
        <v>293</v>
      </c>
      <c r="AI15" s="138">
        <f>139.1</f>
        <v>139.1</v>
      </c>
      <c r="AJ15" s="138">
        <f>0</f>
        <v>0</v>
      </c>
      <c r="AK15" s="138">
        <f>0</f>
        <v>0</v>
      </c>
      <c r="AL15" s="138">
        <v>153.9</v>
      </c>
      <c r="AM15" s="131">
        <f>3377.4</f>
        <v>3377.4</v>
      </c>
      <c r="AN15" s="34">
        <f t="shared" si="8"/>
        <v>524</v>
      </c>
      <c r="AO15" s="139">
        <v>24</v>
      </c>
      <c r="AP15" s="33">
        <v>500</v>
      </c>
      <c r="AQ15" s="33">
        <v>0</v>
      </c>
      <c r="AR15" s="33">
        <v>0</v>
      </c>
    </row>
    <row r="16" spans="1:44" s="24" customFormat="1" ht="93.75" customHeight="1" hidden="1">
      <c r="A16" s="126" t="s">
        <v>36</v>
      </c>
      <c r="B16" s="32">
        <f t="shared" si="9"/>
        <v>3803.6</v>
      </c>
      <c r="C16" s="32">
        <f t="shared" si="9"/>
        <v>927</v>
      </c>
      <c r="D16" s="127">
        <f t="shared" si="4"/>
        <v>3803.6</v>
      </c>
      <c r="E16" s="128">
        <f>3538.5</f>
        <v>3538.5</v>
      </c>
      <c r="F16" s="129">
        <f t="shared" si="0"/>
        <v>265.1</v>
      </c>
      <c r="G16" s="130">
        <v>111.2</v>
      </c>
      <c r="H16" s="130">
        <v>0</v>
      </c>
      <c r="I16" s="130">
        <v>153.9</v>
      </c>
      <c r="J16" s="130">
        <v>0</v>
      </c>
      <c r="K16" s="131">
        <f>3538.5+111.2+153.9</f>
        <v>3803.6</v>
      </c>
      <c r="L16" s="34">
        <f t="shared" si="5"/>
        <v>927</v>
      </c>
      <c r="M16" s="33">
        <v>27</v>
      </c>
      <c r="N16" s="33">
        <v>900</v>
      </c>
      <c r="O16" s="33">
        <v>0</v>
      </c>
      <c r="P16" s="132">
        <f>0</f>
        <v>0</v>
      </c>
      <c r="Q16" s="133"/>
      <c r="R16" s="134" t="s">
        <v>36</v>
      </c>
      <c r="S16" s="135">
        <f t="shared" si="6"/>
        <v>3897.3</v>
      </c>
      <c r="T16" s="136">
        <f>3627</f>
        <v>3627</v>
      </c>
      <c r="U16" s="137">
        <f t="shared" si="1"/>
        <v>270.3</v>
      </c>
      <c r="V16" s="138">
        <f>116.4</f>
        <v>116.4</v>
      </c>
      <c r="W16" s="138">
        <v>0</v>
      </c>
      <c r="X16" s="138">
        <v>0</v>
      </c>
      <c r="Y16" s="138">
        <v>153.9</v>
      </c>
      <c r="Z16" s="131">
        <f>3897.3</f>
        <v>3897.3</v>
      </c>
      <c r="AA16" s="34">
        <f t="shared" si="7"/>
        <v>927</v>
      </c>
      <c r="AB16" s="33">
        <v>27</v>
      </c>
      <c r="AC16" s="33">
        <v>900</v>
      </c>
      <c r="AD16" s="33">
        <v>0</v>
      </c>
      <c r="AE16" s="33">
        <f>0</f>
        <v>0</v>
      </c>
      <c r="AF16" s="135">
        <f t="shared" si="2"/>
        <v>3990.3</v>
      </c>
      <c r="AG16" s="136">
        <f>3715.4</f>
        <v>3715.4</v>
      </c>
      <c r="AH16" s="137">
        <f t="shared" si="3"/>
        <v>274.9</v>
      </c>
      <c r="AI16" s="138">
        <f>121</f>
        <v>121</v>
      </c>
      <c r="AJ16" s="138">
        <f>0</f>
        <v>0</v>
      </c>
      <c r="AK16" s="138">
        <f>0</f>
        <v>0</v>
      </c>
      <c r="AL16" s="138">
        <v>153.9</v>
      </c>
      <c r="AM16" s="131">
        <f>3990.4</f>
        <v>3990.4</v>
      </c>
      <c r="AN16" s="34">
        <f t="shared" si="8"/>
        <v>927</v>
      </c>
      <c r="AO16" s="139">
        <v>27</v>
      </c>
      <c r="AP16" s="33">
        <v>900</v>
      </c>
      <c r="AQ16" s="33">
        <v>0</v>
      </c>
      <c r="AR16" s="33">
        <f>0</f>
        <v>0</v>
      </c>
    </row>
    <row r="17" spans="1:44" s="40" customFormat="1" ht="90" customHeight="1" hidden="1" thickBot="1">
      <c r="A17" s="143" t="s">
        <v>37</v>
      </c>
      <c r="B17" s="35">
        <f aca="true" t="shared" si="10" ref="B17:AR17">B10+B11+B12+B13+B14+B15+B16</f>
        <v>93997.60000000002</v>
      </c>
      <c r="C17" s="35">
        <f t="shared" si="10"/>
        <v>6368.8</v>
      </c>
      <c r="D17" s="127">
        <f t="shared" si="10"/>
        <v>93997.60000000002</v>
      </c>
      <c r="E17" s="36">
        <f t="shared" si="10"/>
        <v>90709.1</v>
      </c>
      <c r="F17" s="37">
        <f t="shared" si="10"/>
        <v>3288.5</v>
      </c>
      <c r="G17" s="38">
        <f t="shared" si="10"/>
        <v>2365.0999999999995</v>
      </c>
      <c r="H17" s="38">
        <f t="shared" si="10"/>
        <v>0</v>
      </c>
      <c r="I17" s="38">
        <f t="shared" si="10"/>
        <v>923.4</v>
      </c>
      <c r="J17" s="38">
        <f t="shared" si="10"/>
        <v>0</v>
      </c>
      <c r="K17" s="131">
        <f t="shared" si="10"/>
        <v>93997.60000000002</v>
      </c>
      <c r="L17" s="39">
        <f t="shared" si="10"/>
        <v>6368.8</v>
      </c>
      <c r="M17" s="144">
        <f t="shared" si="10"/>
        <v>168.8</v>
      </c>
      <c r="N17" s="144">
        <f t="shared" si="10"/>
        <v>6200</v>
      </c>
      <c r="O17" s="38">
        <f t="shared" si="10"/>
        <v>0</v>
      </c>
      <c r="P17" s="145">
        <f t="shared" si="10"/>
        <v>0</v>
      </c>
      <c r="Q17" s="146"/>
      <c r="R17" s="147"/>
      <c r="S17" s="127">
        <f t="shared" si="10"/>
        <v>96376.20000000001</v>
      </c>
      <c r="T17" s="36">
        <f t="shared" si="10"/>
        <v>92977</v>
      </c>
      <c r="U17" s="37">
        <f t="shared" si="10"/>
        <v>3399.2000000000003</v>
      </c>
      <c r="V17" s="38">
        <f t="shared" si="10"/>
        <v>2475.8</v>
      </c>
      <c r="W17" s="38">
        <f t="shared" si="10"/>
        <v>0</v>
      </c>
      <c r="X17" s="38">
        <f t="shared" si="10"/>
        <v>0</v>
      </c>
      <c r="Y17" s="38">
        <f t="shared" si="10"/>
        <v>923.4</v>
      </c>
      <c r="Z17" s="131">
        <f t="shared" si="10"/>
        <v>96376.20000000001</v>
      </c>
      <c r="AA17" s="39">
        <f t="shared" si="10"/>
        <v>6368.8</v>
      </c>
      <c r="AB17" s="38">
        <f t="shared" si="10"/>
        <v>168.8</v>
      </c>
      <c r="AC17" s="38">
        <f t="shared" si="10"/>
        <v>6200</v>
      </c>
      <c r="AD17" s="38">
        <f t="shared" si="10"/>
        <v>0</v>
      </c>
      <c r="AE17" s="38">
        <f t="shared" si="10"/>
        <v>0</v>
      </c>
      <c r="AF17" s="127">
        <f t="shared" si="10"/>
        <v>98786.3</v>
      </c>
      <c r="AG17" s="36">
        <f t="shared" si="10"/>
        <v>95287.4</v>
      </c>
      <c r="AH17" s="37">
        <f t="shared" si="10"/>
        <v>3498.9000000000005</v>
      </c>
      <c r="AI17" s="38">
        <f t="shared" si="10"/>
        <v>2575.5</v>
      </c>
      <c r="AJ17" s="38">
        <f t="shared" si="10"/>
        <v>0</v>
      </c>
      <c r="AK17" s="38">
        <f t="shared" si="10"/>
        <v>0</v>
      </c>
      <c r="AL17" s="38">
        <f t="shared" si="10"/>
        <v>923.4</v>
      </c>
      <c r="AM17" s="131">
        <f t="shared" si="10"/>
        <v>98786.29999999999</v>
      </c>
      <c r="AN17" s="39">
        <f t="shared" si="10"/>
        <v>6368.8</v>
      </c>
      <c r="AO17" s="144">
        <f t="shared" si="10"/>
        <v>168.8</v>
      </c>
      <c r="AP17" s="38">
        <f t="shared" si="10"/>
        <v>6200</v>
      </c>
      <c r="AQ17" s="38">
        <f t="shared" si="10"/>
        <v>0</v>
      </c>
      <c r="AR17" s="38">
        <f t="shared" si="10"/>
        <v>0</v>
      </c>
    </row>
    <row r="18" spans="1:40" s="24" customFormat="1" ht="34.5" customHeight="1">
      <c r="A18" s="148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5"/>
      <c r="M18" s="25"/>
      <c r="N18" s="25"/>
      <c r="O18" s="25"/>
      <c r="P18" s="25"/>
      <c r="Q18" s="25"/>
      <c r="R18" s="149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49"/>
      <c r="AG18" s="25"/>
      <c r="AH18" s="25"/>
      <c r="AI18" s="25"/>
      <c r="AJ18" s="25"/>
      <c r="AK18" s="25"/>
      <c r="AL18" s="25"/>
      <c r="AM18" s="27"/>
      <c r="AN18" s="27"/>
    </row>
    <row r="19" spans="1:40" s="24" customFormat="1" ht="34.5" customHeight="1">
      <c r="A19" s="148"/>
      <c r="K19" s="4"/>
      <c r="R19" s="150"/>
      <c r="AF19" s="150"/>
      <c r="AM19" s="27"/>
      <c r="AN19" s="27"/>
    </row>
    <row r="20" spans="1:40" s="24" customFormat="1" ht="34.5" customHeight="1">
      <c r="A20" s="148"/>
      <c r="K20" s="4"/>
      <c r="R20" s="150"/>
      <c r="AF20" s="150"/>
      <c r="AM20" s="27"/>
      <c r="AN20" s="27"/>
    </row>
    <row r="21" spans="1:40" s="24" customFormat="1" ht="34.5" customHeight="1">
      <c r="A21" s="148"/>
      <c r="K21" s="4"/>
      <c r="R21" s="150"/>
      <c r="AF21" s="150"/>
      <c r="AM21" s="27"/>
      <c r="AN21" s="27"/>
    </row>
    <row r="22" spans="1:40" s="24" customFormat="1" ht="34.5" customHeight="1">
      <c r="A22" s="148"/>
      <c r="K22" s="4"/>
      <c r="R22" s="150"/>
      <c r="AF22" s="150"/>
      <c r="AM22" s="27"/>
      <c r="AN22" s="27"/>
    </row>
    <row r="23" spans="1:40" s="24" customFormat="1" ht="34.5" customHeight="1">
      <c r="A23" s="148"/>
      <c r="K23" s="4"/>
      <c r="R23" s="150"/>
      <c r="AF23" s="150"/>
      <c r="AM23" s="27"/>
      <c r="AN23" s="27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</sheetData>
  <sheetProtection/>
  <mergeCells count="32">
    <mergeCell ref="R4:AR4"/>
    <mergeCell ref="D5:P5"/>
    <mergeCell ref="R5:AE5"/>
    <mergeCell ref="AF5:AR5"/>
    <mergeCell ref="D6:P6"/>
    <mergeCell ref="R6:AE6"/>
    <mergeCell ref="L7:L8"/>
    <mergeCell ref="M7:P7"/>
    <mergeCell ref="A1:P2"/>
    <mergeCell ref="A4:A8"/>
    <mergeCell ref="B4:C5"/>
    <mergeCell ref="D4:P4"/>
    <mergeCell ref="AG7:AH7"/>
    <mergeCell ref="AI7:AL7"/>
    <mergeCell ref="AF6:AR6"/>
    <mergeCell ref="B7:B8"/>
    <mergeCell ref="C7:C8"/>
    <mergeCell ref="D7:D8"/>
    <mergeCell ref="E7:E8"/>
    <mergeCell ref="F7:F8"/>
    <mergeCell ref="G7:J7"/>
    <mergeCell ref="K7:K8"/>
    <mergeCell ref="AM7:AM8"/>
    <mergeCell ref="AN7:AN8"/>
    <mergeCell ref="AO7:AR7"/>
    <mergeCell ref="S7:S8"/>
    <mergeCell ref="T7:U7"/>
    <mergeCell ref="V7:Y7"/>
    <mergeCell ref="Z7:Z8"/>
    <mergeCell ref="AA7:AA8"/>
    <mergeCell ref="AB7:AE7"/>
    <mergeCell ref="AF7:AF8"/>
  </mergeCells>
  <printOptions/>
  <pageMargins left="0.5118110236220472" right="0.31496062992125984" top="0.5511811023622047" bottom="0.35433070866141736" header="0.31496062992125984" footer="0.31496062992125984"/>
  <pageSetup fitToHeight="14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0">
      <selection activeCell="F17" sqref="F17"/>
    </sheetView>
  </sheetViews>
  <sheetFormatPr defaultColWidth="9.140625" defaultRowHeight="15"/>
  <cols>
    <col min="1" max="1" width="20.28125" style="115" customWidth="1"/>
    <col min="2" max="2" width="13.421875" style="3" customWidth="1"/>
    <col min="3" max="3" width="12.140625" style="3" customWidth="1"/>
    <col min="4" max="4" width="15.8515625" style="3" customWidth="1"/>
    <col min="5" max="5" width="13.00390625" style="3" customWidth="1"/>
    <col min="6" max="6" width="12.00390625" style="3" customWidth="1"/>
    <col min="7" max="7" width="10.8515625" style="3" customWidth="1"/>
    <col min="8" max="8" width="7.8515625" style="3" hidden="1" customWidth="1"/>
    <col min="9" max="9" width="9.140625" style="3" customWidth="1"/>
    <col min="10" max="10" width="8.140625" style="3" hidden="1" customWidth="1"/>
    <col min="11" max="11" width="18.421875" style="4" customWidth="1"/>
    <col min="12" max="12" width="13.57421875" style="3" customWidth="1"/>
    <col min="13" max="13" width="11.421875" style="3" customWidth="1"/>
    <col min="14" max="14" width="11.57421875" style="3" customWidth="1"/>
    <col min="15" max="15" width="11.8515625" style="3" hidden="1" customWidth="1"/>
    <col min="16" max="16" width="0" style="3" hidden="1" customWidth="1"/>
    <col min="17" max="17" width="10.28125" style="3" hidden="1" customWidth="1"/>
    <col min="18" max="18" width="17.28125" style="31" customWidth="1"/>
    <col min="19" max="19" width="17.140625" style="3" customWidth="1"/>
    <col min="20" max="20" width="13.28125" style="3" customWidth="1"/>
    <col min="21" max="21" width="10.8515625" style="3" customWidth="1"/>
    <col min="22" max="22" width="10.28125" style="3" customWidth="1"/>
    <col min="23" max="23" width="9.7109375" style="3" hidden="1" customWidth="1"/>
    <col min="24" max="24" width="9.57421875" style="3" hidden="1" customWidth="1"/>
    <col min="25" max="25" width="10.421875" style="3" customWidth="1"/>
    <col min="26" max="26" width="15.7109375" style="3" customWidth="1"/>
    <col min="27" max="27" width="12.28125" style="3" customWidth="1"/>
    <col min="28" max="28" width="9.140625" style="3" customWidth="1"/>
    <col min="29" max="29" width="11.57421875" style="3" customWidth="1"/>
    <col min="30" max="30" width="8.00390625" style="3" hidden="1" customWidth="1"/>
    <col min="31" max="31" width="7.57421875" style="3" hidden="1" customWidth="1"/>
    <col min="32" max="32" width="17.421875" style="31" customWidth="1"/>
    <col min="33" max="33" width="12.00390625" style="3" customWidth="1"/>
    <col min="34" max="34" width="13.00390625" style="3" customWidth="1"/>
    <col min="35" max="35" width="11.421875" style="3" customWidth="1"/>
    <col min="36" max="36" width="10.57421875" style="3" hidden="1" customWidth="1"/>
    <col min="37" max="37" width="7.57421875" style="3" hidden="1" customWidth="1"/>
    <col min="38" max="38" width="11.00390625" style="3" customWidth="1"/>
    <col min="39" max="39" width="18.140625" style="2" customWidth="1"/>
    <col min="40" max="40" width="12.140625" style="2" customWidth="1"/>
    <col min="41" max="41" width="9.8515625" style="3" customWidth="1"/>
    <col min="42" max="42" width="11.00390625" style="3" customWidth="1"/>
    <col min="43" max="43" width="11.7109375" style="3" hidden="1" customWidth="1"/>
    <col min="44" max="44" width="7.57421875" style="3" hidden="1" customWidth="1"/>
    <col min="45" max="16384" width="9.140625" style="3" customWidth="1"/>
  </cols>
  <sheetData>
    <row r="1" spans="1:38" ht="15">
      <c r="A1" s="278" t="s">
        <v>235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1"/>
      <c r="AH1" s="1"/>
      <c r="AI1" s="1"/>
      <c r="AJ1" s="1"/>
      <c r="AK1" s="1"/>
      <c r="AL1" s="1"/>
    </row>
    <row r="2" spans="1:18" ht="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1"/>
      <c r="R2" s="44"/>
    </row>
    <row r="3" spans="32:38" ht="15.75" thickBot="1">
      <c r="AF3" s="116" t="s">
        <v>0</v>
      </c>
      <c r="AG3" s="5"/>
      <c r="AH3" s="5"/>
      <c r="AI3" s="5"/>
      <c r="AJ3" s="5"/>
      <c r="AK3" s="5"/>
      <c r="AL3" s="5"/>
    </row>
    <row r="4" spans="1:44" ht="15.75" thickBot="1">
      <c r="A4" s="279" t="s">
        <v>30</v>
      </c>
      <c r="B4" s="282" t="s">
        <v>2</v>
      </c>
      <c r="C4" s="283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117"/>
      <c r="R4" s="288" t="s">
        <v>4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9"/>
    </row>
    <row r="5" spans="1:44" s="40" customFormat="1" ht="24.75" thickBot="1">
      <c r="A5" s="280"/>
      <c r="B5" s="284"/>
      <c r="C5" s="285"/>
      <c r="D5" s="290" t="s">
        <v>2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118"/>
      <c r="R5" s="292" t="s">
        <v>230</v>
      </c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3"/>
      <c r="AF5" s="294" t="s">
        <v>233</v>
      </c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6"/>
    </row>
    <row r="6" spans="1:44" ht="15.75" thickBot="1">
      <c r="A6" s="280"/>
      <c r="B6" s="28"/>
      <c r="C6" s="29"/>
      <c r="D6" s="297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11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69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1"/>
    </row>
    <row r="7" spans="1:44" ht="15">
      <c r="A7" s="280"/>
      <c r="B7" s="272">
        <v>2</v>
      </c>
      <c r="C7" s="272" t="s">
        <v>38</v>
      </c>
      <c r="D7" s="264" t="s">
        <v>39</v>
      </c>
      <c r="E7" s="274" t="s">
        <v>40</v>
      </c>
      <c r="F7" s="276" t="s">
        <v>9</v>
      </c>
      <c r="G7" s="249" t="s">
        <v>41</v>
      </c>
      <c r="H7" s="249"/>
      <c r="I7" s="249"/>
      <c r="J7" s="250"/>
      <c r="K7" s="244" t="s">
        <v>42</v>
      </c>
      <c r="L7" s="246" t="s">
        <v>43</v>
      </c>
      <c r="M7" s="248" t="s">
        <v>44</v>
      </c>
      <c r="N7" s="249"/>
      <c r="O7" s="249"/>
      <c r="P7" s="249"/>
      <c r="Q7" s="120"/>
      <c r="R7" s="121"/>
      <c r="S7" s="251" t="s">
        <v>45</v>
      </c>
      <c r="T7" s="253" t="s">
        <v>46</v>
      </c>
      <c r="U7" s="254"/>
      <c r="V7" s="255" t="s">
        <v>20</v>
      </c>
      <c r="W7" s="256"/>
      <c r="X7" s="256"/>
      <c r="Y7" s="257"/>
      <c r="Z7" s="258" t="s">
        <v>42</v>
      </c>
      <c r="AA7" s="259" t="s">
        <v>43</v>
      </c>
      <c r="AB7" s="261" t="s">
        <v>44</v>
      </c>
      <c r="AC7" s="262"/>
      <c r="AD7" s="262"/>
      <c r="AE7" s="263"/>
      <c r="AF7" s="264" t="s">
        <v>45</v>
      </c>
      <c r="AG7" s="265" t="s">
        <v>8</v>
      </c>
      <c r="AH7" s="265"/>
      <c r="AI7" s="266" t="s">
        <v>58</v>
      </c>
      <c r="AJ7" s="267"/>
      <c r="AK7" s="267"/>
      <c r="AL7" s="268"/>
      <c r="AM7" s="244" t="s">
        <v>42</v>
      </c>
      <c r="AN7" s="246" t="s">
        <v>43</v>
      </c>
      <c r="AO7" s="248" t="s">
        <v>44</v>
      </c>
      <c r="AP7" s="249"/>
      <c r="AQ7" s="249"/>
      <c r="AR7" s="250"/>
    </row>
    <row r="8" spans="1:44" ht="171">
      <c r="A8" s="281"/>
      <c r="B8" s="273"/>
      <c r="C8" s="273"/>
      <c r="D8" s="252"/>
      <c r="E8" s="275"/>
      <c r="F8" s="277"/>
      <c r="G8" s="42" t="s">
        <v>47</v>
      </c>
      <c r="H8" s="46" t="s">
        <v>236</v>
      </c>
      <c r="I8" s="46" t="s">
        <v>57</v>
      </c>
      <c r="J8" s="46" t="s">
        <v>49</v>
      </c>
      <c r="K8" s="245"/>
      <c r="L8" s="247"/>
      <c r="M8" s="46" t="s">
        <v>50</v>
      </c>
      <c r="N8" s="46" t="s">
        <v>51</v>
      </c>
      <c r="O8" s="46" t="s">
        <v>52</v>
      </c>
      <c r="P8" s="41" t="s">
        <v>53</v>
      </c>
      <c r="Q8" s="120"/>
      <c r="R8" s="122"/>
      <c r="S8" s="252"/>
      <c r="T8" s="6" t="s">
        <v>40</v>
      </c>
      <c r="U8" s="7" t="s">
        <v>9</v>
      </c>
      <c r="V8" s="43" t="s">
        <v>54</v>
      </c>
      <c r="W8" s="43" t="s">
        <v>48</v>
      </c>
      <c r="X8" s="123" t="s">
        <v>49</v>
      </c>
      <c r="Y8" s="43" t="s">
        <v>57</v>
      </c>
      <c r="Z8" s="245"/>
      <c r="AA8" s="260"/>
      <c r="AB8" s="123" t="s">
        <v>55</v>
      </c>
      <c r="AC8" s="123" t="s">
        <v>51</v>
      </c>
      <c r="AD8" s="123" t="s">
        <v>52</v>
      </c>
      <c r="AE8" s="123" t="s">
        <v>53</v>
      </c>
      <c r="AF8" s="252"/>
      <c r="AG8" s="8" t="s">
        <v>40</v>
      </c>
      <c r="AH8" s="9" t="s">
        <v>9</v>
      </c>
      <c r="AI8" s="10" t="s">
        <v>54</v>
      </c>
      <c r="AJ8" s="46" t="s">
        <v>48</v>
      </c>
      <c r="AK8" s="46" t="s">
        <v>49</v>
      </c>
      <c r="AL8" s="45" t="s">
        <v>57</v>
      </c>
      <c r="AM8" s="245"/>
      <c r="AN8" s="247"/>
      <c r="AO8" s="46" t="s">
        <v>55</v>
      </c>
      <c r="AP8" s="46" t="s">
        <v>51</v>
      </c>
      <c r="AQ8" s="46" t="s">
        <v>52</v>
      </c>
      <c r="AR8" s="46" t="s">
        <v>53</v>
      </c>
    </row>
    <row r="9" spans="1:44" ht="15">
      <c r="A9" s="123"/>
      <c r="B9" s="11"/>
      <c r="C9" s="11"/>
      <c r="D9" s="12"/>
      <c r="E9" s="13"/>
      <c r="F9" s="14"/>
      <c r="G9" s="46"/>
      <c r="H9" s="46"/>
      <c r="I9" s="46"/>
      <c r="J9" s="46"/>
      <c r="K9" s="15"/>
      <c r="L9" s="16"/>
      <c r="M9" s="46"/>
      <c r="N9" s="46"/>
      <c r="O9" s="46"/>
      <c r="P9" s="41"/>
      <c r="Q9" s="120"/>
      <c r="R9" s="124"/>
      <c r="S9" s="125"/>
      <c r="T9" s="17"/>
      <c r="U9" s="18"/>
      <c r="V9" s="10"/>
      <c r="W9" s="10"/>
      <c r="X9" s="10"/>
      <c r="Y9" s="10"/>
      <c r="Z9" s="19"/>
      <c r="AA9" s="20"/>
      <c r="AB9" s="10"/>
      <c r="AC9" s="10"/>
      <c r="AD9" s="10"/>
      <c r="AE9" s="10"/>
      <c r="AF9" s="125"/>
      <c r="AG9" s="21"/>
      <c r="AH9" s="22"/>
      <c r="AI9" s="23"/>
      <c r="AJ9" s="23"/>
      <c r="AK9" s="23"/>
      <c r="AL9" s="23"/>
      <c r="AM9" s="19"/>
      <c r="AN9" s="20"/>
      <c r="AO9" s="10"/>
      <c r="AP9" s="10"/>
      <c r="AQ9" s="10"/>
      <c r="AR9" s="10"/>
    </row>
    <row r="10" spans="1:44" s="24" customFormat="1" ht="46.5">
      <c r="A10" s="126" t="s">
        <v>231</v>
      </c>
      <c r="B10" s="32">
        <f>K10</f>
        <v>70038.20000000001</v>
      </c>
      <c r="C10" s="32">
        <v>0</v>
      </c>
      <c r="D10" s="127">
        <f>E10+F10</f>
        <v>70038.20000000001</v>
      </c>
      <c r="E10" s="128">
        <f>66979.8+1367.3</f>
        <v>68347.1</v>
      </c>
      <c r="F10" s="129">
        <f aca="true" t="shared" si="0" ref="F10:F16">G10+H10+I10+J10</f>
        <v>1691.1</v>
      </c>
      <c r="G10" s="130">
        <f>1691.1</f>
        <v>1691.1</v>
      </c>
      <c r="H10" s="130"/>
      <c r="I10" s="130">
        <f>0</f>
        <v>0</v>
      </c>
      <c r="J10" s="130"/>
      <c r="K10" s="131">
        <f>66979.8+1367.3+1691.1</f>
        <v>70038.20000000001</v>
      </c>
      <c r="L10" s="34">
        <f>M10+N10+O10+P10</f>
        <v>0</v>
      </c>
      <c r="M10" s="33">
        <v>0</v>
      </c>
      <c r="N10" s="33">
        <v>0</v>
      </c>
      <c r="O10" s="33">
        <v>0</v>
      </c>
      <c r="P10" s="132">
        <v>0</v>
      </c>
      <c r="Q10" s="133"/>
      <c r="R10" s="134" t="s">
        <v>56</v>
      </c>
      <c r="S10" s="135">
        <f>T10+U10</f>
        <v>71826</v>
      </c>
      <c r="T10" s="136">
        <f>70055.8</f>
        <v>70055.8</v>
      </c>
      <c r="U10" s="137">
        <f aca="true" t="shared" si="1" ref="U10:U16">V10+W10+X10+Y10</f>
        <v>1770.2</v>
      </c>
      <c r="V10" s="138">
        <f>1770.2</f>
        <v>1770.2</v>
      </c>
      <c r="W10" s="138">
        <v>0</v>
      </c>
      <c r="X10" s="138">
        <v>0</v>
      </c>
      <c r="Y10" s="138">
        <v>0</v>
      </c>
      <c r="Z10" s="131">
        <f>70055.8+1770.2</f>
        <v>71826</v>
      </c>
      <c r="AA10" s="34">
        <f>AB10+AC10+AD10+AE10</f>
        <v>0</v>
      </c>
      <c r="AB10" s="33">
        <v>0</v>
      </c>
      <c r="AC10" s="33">
        <v>0</v>
      </c>
      <c r="AD10" s="33">
        <v>0</v>
      </c>
      <c r="AE10" s="33">
        <v>0</v>
      </c>
      <c r="AF10" s="135">
        <f aca="true" t="shared" si="2" ref="AF10:AF16">AG10+AH10</f>
        <v>73648.7</v>
      </c>
      <c r="AG10" s="136">
        <f>71807.2</f>
        <v>71807.2</v>
      </c>
      <c r="AH10" s="137">
        <f aca="true" t="shared" si="3" ref="AH10:AH16">AI10+AJ10+AK10+AL10</f>
        <v>1841.5</v>
      </c>
      <c r="AI10" s="138">
        <f>1841.5</f>
        <v>1841.5</v>
      </c>
      <c r="AJ10" s="138">
        <v>0</v>
      </c>
      <c r="AK10" s="138">
        <v>0</v>
      </c>
      <c r="AL10" s="138">
        <f>0</f>
        <v>0</v>
      </c>
      <c r="AM10" s="131">
        <f>73648.7</f>
        <v>73648.7</v>
      </c>
      <c r="AN10" s="34">
        <f>AO10+AP10+AQ10+AR10</f>
        <v>0</v>
      </c>
      <c r="AO10" s="139">
        <v>0</v>
      </c>
      <c r="AP10" s="33">
        <v>0</v>
      </c>
      <c r="AQ10" s="33">
        <v>0</v>
      </c>
      <c r="AR10" s="33">
        <v>0</v>
      </c>
    </row>
    <row r="11" spans="1:44" s="24" customFormat="1" ht="56.25">
      <c r="A11" s="126" t="s">
        <v>31</v>
      </c>
      <c r="B11" s="32">
        <f>K11</f>
        <v>4502.4</v>
      </c>
      <c r="C11" s="32">
        <f>L11</f>
        <v>1528.6</v>
      </c>
      <c r="D11" s="127">
        <f aca="true" t="shared" si="4" ref="D11:D16">E11+F11</f>
        <v>4502.4</v>
      </c>
      <c r="E11" s="128">
        <f>4235</f>
        <v>4235</v>
      </c>
      <c r="F11" s="129">
        <f t="shared" si="0"/>
        <v>267.4</v>
      </c>
      <c r="G11" s="130">
        <v>113.5</v>
      </c>
      <c r="H11" s="130">
        <v>0</v>
      </c>
      <c r="I11" s="130">
        <v>153.9</v>
      </c>
      <c r="J11" s="130">
        <v>0</v>
      </c>
      <c r="K11" s="131">
        <f>4235+113.5+153.9</f>
        <v>4502.4</v>
      </c>
      <c r="L11" s="34">
        <f aca="true" t="shared" si="5" ref="L11:L16">M11+N11+O11+P11</f>
        <v>1528.6</v>
      </c>
      <c r="M11" s="33">
        <f>28.6</f>
        <v>28.6</v>
      </c>
      <c r="N11" s="33">
        <f>1500</f>
        <v>1500</v>
      </c>
      <c r="O11" s="33">
        <v>0</v>
      </c>
      <c r="P11" s="132">
        <v>0</v>
      </c>
      <c r="Q11" s="133"/>
      <c r="R11" s="134" t="s">
        <v>31</v>
      </c>
      <c r="S11" s="135">
        <f aca="true" t="shared" si="6" ref="S11:S16">T11+U11</f>
        <v>4613.599999999999</v>
      </c>
      <c r="T11" s="136">
        <v>4340.9</v>
      </c>
      <c r="U11" s="137">
        <f t="shared" si="1"/>
        <v>272.7</v>
      </c>
      <c r="V11" s="138">
        <v>118.8</v>
      </c>
      <c r="W11" s="138">
        <f>0</f>
        <v>0</v>
      </c>
      <c r="X11" s="138">
        <v>0</v>
      </c>
      <c r="Y11" s="140">
        <v>153.9</v>
      </c>
      <c r="Z11" s="141">
        <f>4613.6</f>
        <v>4613.6</v>
      </c>
      <c r="AA11" s="34">
        <f aca="true" t="shared" si="7" ref="AA11:AA16">AB11+AC11+AD11+AE11</f>
        <v>1528.6</v>
      </c>
      <c r="AB11" s="33">
        <f>28.6</f>
        <v>28.6</v>
      </c>
      <c r="AC11" s="33">
        <f>1500</f>
        <v>1500</v>
      </c>
      <c r="AD11" s="33">
        <v>0</v>
      </c>
      <c r="AE11" s="33">
        <v>0</v>
      </c>
      <c r="AF11" s="135">
        <f t="shared" si="2"/>
        <v>4724.3</v>
      </c>
      <c r="AG11" s="136">
        <f>4446.8</f>
        <v>4446.8</v>
      </c>
      <c r="AH11" s="137">
        <f t="shared" si="3"/>
        <v>277.5</v>
      </c>
      <c r="AI11" s="138">
        <f>123.6</f>
        <v>123.6</v>
      </c>
      <c r="AJ11" s="138">
        <v>0</v>
      </c>
      <c r="AK11" s="142">
        <v>0</v>
      </c>
      <c r="AL11" s="33">
        <v>153.9</v>
      </c>
      <c r="AM11" s="131">
        <f>4724.3</f>
        <v>4724.3</v>
      </c>
      <c r="AN11" s="34">
        <f aca="true" t="shared" si="8" ref="AN11:AN16">AO11+AP11+AQ11+AR11</f>
        <v>1528.6</v>
      </c>
      <c r="AO11" s="139">
        <f>28.6</f>
        <v>28.6</v>
      </c>
      <c r="AP11" s="33">
        <f>1500</f>
        <v>1500</v>
      </c>
      <c r="AQ11" s="33">
        <v>0</v>
      </c>
      <c r="AR11" s="33">
        <v>0</v>
      </c>
    </row>
    <row r="12" spans="1:44" s="24" customFormat="1" ht="46.5">
      <c r="A12" s="126" t="s">
        <v>32</v>
      </c>
      <c r="B12" s="32">
        <f aca="true" t="shared" si="9" ref="B12:C16">K12</f>
        <v>4230.3</v>
      </c>
      <c r="C12" s="32">
        <f t="shared" si="9"/>
        <v>1231.2</v>
      </c>
      <c r="D12" s="127">
        <f t="shared" si="4"/>
        <v>4230.3</v>
      </c>
      <c r="E12" s="128">
        <f>3970</f>
        <v>3970</v>
      </c>
      <c r="F12" s="129">
        <f t="shared" si="0"/>
        <v>260.3</v>
      </c>
      <c r="G12" s="130">
        <v>106.4</v>
      </c>
      <c r="H12" s="130">
        <v>0</v>
      </c>
      <c r="I12" s="130">
        <f>153.9</f>
        <v>153.9</v>
      </c>
      <c r="J12" s="130">
        <f>0</f>
        <v>0</v>
      </c>
      <c r="K12" s="131">
        <f>3970+106.4+153.9</f>
        <v>4230.3</v>
      </c>
      <c r="L12" s="34">
        <f t="shared" si="5"/>
        <v>1231.2</v>
      </c>
      <c r="M12" s="33">
        <v>31.2</v>
      </c>
      <c r="N12" s="33">
        <v>1200</v>
      </c>
      <c r="O12" s="33">
        <v>0</v>
      </c>
      <c r="P12" s="132">
        <f>0</f>
        <v>0</v>
      </c>
      <c r="Q12" s="133"/>
      <c r="R12" s="134" t="s">
        <v>32</v>
      </c>
      <c r="S12" s="135">
        <f t="shared" si="6"/>
        <v>4334.6</v>
      </c>
      <c r="T12" s="136">
        <f>4069.3</f>
        <v>4069.3</v>
      </c>
      <c r="U12" s="137">
        <f t="shared" si="1"/>
        <v>265.3</v>
      </c>
      <c r="V12" s="138">
        <f>111.4</f>
        <v>111.4</v>
      </c>
      <c r="W12" s="138">
        <v>0</v>
      </c>
      <c r="X12" s="138">
        <v>0</v>
      </c>
      <c r="Y12" s="138">
        <v>153.9</v>
      </c>
      <c r="Z12" s="131">
        <f>4334.6</f>
        <v>4334.6</v>
      </c>
      <c r="AA12" s="34">
        <f t="shared" si="7"/>
        <v>1231.2</v>
      </c>
      <c r="AB12" s="33">
        <v>31.2</v>
      </c>
      <c r="AC12" s="33">
        <v>1200</v>
      </c>
      <c r="AD12" s="33">
        <v>0</v>
      </c>
      <c r="AE12" s="33">
        <f>0</f>
        <v>0</v>
      </c>
      <c r="AF12" s="135">
        <f t="shared" si="2"/>
        <v>4438.3</v>
      </c>
      <c r="AG12" s="136">
        <f>4168.5</f>
        <v>4168.5</v>
      </c>
      <c r="AH12" s="137">
        <f t="shared" si="3"/>
        <v>269.8</v>
      </c>
      <c r="AI12" s="138">
        <f>115.9</f>
        <v>115.9</v>
      </c>
      <c r="AJ12" s="138">
        <v>0</v>
      </c>
      <c r="AK12" s="138">
        <f>0</f>
        <v>0</v>
      </c>
      <c r="AL12" s="138">
        <v>153.9</v>
      </c>
      <c r="AM12" s="131">
        <f>4438.3</f>
        <v>4438.3</v>
      </c>
      <c r="AN12" s="34">
        <f t="shared" si="8"/>
        <v>1231.2</v>
      </c>
      <c r="AO12" s="139">
        <v>31.2</v>
      </c>
      <c r="AP12" s="33">
        <v>1200</v>
      </c>
      <c r="AQ12" s="33">
        <v>0</v>
      </c>
      <c r="AR12" s="33">
        <f>0</f>
        <v>0</v>
      </c>
    </row>
    <row r="13" spans="1:44" s="24" customFormat="1" ht="46.5">
      <c r="A13" s="126" t="s">
        <v>33</v>
      </c>
      <c r="B13" s="32">
        <f t="shared" si="9"/>
        <v>3290.5</v>
      </c>
      <c r="C13" s="32">
        <f t="shared" si="9"/>
        <v>822</v>
      </c>
      <c r="D13" s="127">
        <f t="shared" si="4"/>
        <v>3290.5</v>
      </c>
      <c r="E13" s="128">
        <f>3042</f>
        <v>3042</v>
      </c>
      <c r="F13" s="129">
        <f t="shared" si="0"/>
        <v>248.5</v>
      </c>
      <c r="G13" s="130">
        <f>94.6</f>
        <v>94.6</v>
      </c>
      <c r="H13" s="130">
        <v>0</v>
      </c>
      <c r="I13" s="130">
        <v>153.9</v>
      </c>
      <c r="J13" s="130">
        <v>0</v>
      </c>
      <c r="K13" s="131">
        <f>3042+94.6+153.9</f>
        <v>3290.5</v>
      </c>
      <c r="L13" s="34">
        <f t="shared" si="5"/>
        <v>822</v>
      </c>
      <c r="M13" s="33">
        <v>22</v>
      </c>
      <c r="N13" s="33">
        <v>800</v>
      </c>
      <c r="O13" s="33">
        <v>0</v>
      </c>
      <c r="P13" s="132">
        <v>0</v>
      </c>
      <c r="Q13" s="133"/>
      <c r="R13" s="134" t="s">
        <v>33</v>
      </c>
      <c r="S13" s="135">
        <f t="shared" si="6"/>
        <v>3371</v>
      </c>
      <c r="T13" s="136">
        <f>3118.1</f>
        <v>3118.1</v>
      </c>
      <c r="U13" s="137">
        <f t="shared" si="1"/>
        <v>252.9</v>
      </c>
      <c r="V13" s="138">
        <f>99</f>
        <v>99</v>
      </c>
      <c r="W13" s="138">
        <v>0</v>
      </c>
      <c r="X13" s="138">
        <v>0</v>
      </c>
      <c r="Y13" s="138">
        <v>153.9</v>
      </c>
      <c r="Z13" s="131">
        <f>3371</f>
        <v>3371</v>
      </c>
      <c r="AA13" s="34">
        <f t="shared" si="7"/>
        <v>822</v>
      </c>
      <c r="AB13" s="33">
        <v>22</v>
      </c>
      <c r="AC13" s="33">
        <v>800</v>
      </c>
      <c r="AD13" s="33">
        <v>0</v>
      </c>
      <c r="AE13" s="33">
        <v>0</v>
      </c>
      <c r="AF13" s="135">
        <f t="shared" si="2"/>
        <v>3451</v>
      </c>
      <c r="AG13" s="136">
        <f>3194.1</f>
        <v>3194.1</v>
      </c>
      <c r="AH13" s="137">
        <f t="shared" si="3"/>
        <v>256.9</v>
      </c>
      <c r="AI13" s="138">
        <f>103</f>
        <v>103</v>
      </c>
      <c r="AJ13" s="138">
        <f>0</f>
        <v>0</v>
      </c>
      <c r="AK13" s="138">
        <v>0</v>
      </c>
      <c r="AL13" s="138">
        <v>153.9</v>
      </c>
      <c r="AM13" s="131">
        <f>3451</f>
        <v>3451</v>
      </c>
      <c r="AN13" s="34">
        <f t="shared" si="8"/>
        <v>822</v>
      </c>
      <c r="AO13" s="139">
        <v>22</v>
      </c>
      <c r="AP13" s="33">
        <v>800</v>
      </c>
      <c r="AQ13" s="33">
        <v>0</v>
      </c>
      <c r="AR13" s="33">
        <v>0</v>
      </c>
    </row>
    <row r="14" spans="1:44" s="24" customFormat="1" ht="46.5">
      <c r="A14" s="126" t="s">
        <v>34</v>
      </c>
      <c r="B14" s="32">
        <f t="shared" si="9"/>
        <v>4913.5</v>
      </c>
      <c r="C14" s="32">
        <f t="shared" si="9"/>
        <v>1336</v>
      </c>
      <c r="D14" s="127">
        <f t="shared" si="4"/>
        <v>4913.5</v>
      </c>
      <c r="E14" s="128">
        <f>4639</f>
        <v>4639</v>
      </c>
      <c r="F14" s="129">
        <f t="shared" si="0"/>
        <v>274.5</v>
      </c>
      <c r="G14" s="130">
        <f>120.6</f>
        <v>120.6</v>
      </c>
      <c r="H14" s="130">
        <v>0</v>
      </c>
      <c r="I14" s="130">
        <v>153.9</v>
      </c>
      <c r="J14" s="130">
        <v>0</v>
      </c>
      <c r="K14" s="131">
        <f>4639+120.6+153.9</f>
        <v>4913.5</v>
      </c>
      <c r="L14" s="34">
        <f t="shared" si="5"/>
        <v>1336</v>
      </c>
      <c r="M14" s="33">
        <v>36</v>
      </c>
      <c r="N14" s="33">
        <v>1300</v>
      </c>
      <c r="O14" s="33">
        <v>0</v>
      </c>
      <c r="P14" s="132">
        <v>0</v>
      </c>
      <c r="Q14" s="133"/>
      <c r="R14" s="134" t="s">
        <v>34</v>
      </c>
      <c r="S14" s="135">
        <f t="shared" si="6"/>
        <v>5035.2</v>
      </c>
      <c r="T14" s="136">
        <f>4755</f>
        <v>4755</v>
      </c>
      <c r="U14" s="137">
        <f t="shared" si="1"/>
        <v>280.2</v>
      </c>
      <c r="V14" s="138">
        <f>126.3</f>
        <v>126.3</v>
      </c>
      <c r="W14" s="138">
        <v>0</v>
      </c>
      <c r="X14" s="138">
        <v>0</v>
      </c>
      <c r="Y14" s="138">
        <v>153.9</v>
      </c>
      <c r="Z14" s="131">
        <f>5035.2</f>
        <v>5035.2</v>
      </c>
      <c r="AA14" s="34">
        <f t="shared" si="7"/>
        <v>1336</v>
      </c>
      <c r="AB14" s="33">
        <v>36</v>
      </c>
      <c r="AC14" s="33">
        <v>1300</v>
      </c>
      <c r="AD14" s="33">
        <v>0</v>
      </c>
      <c r="AE14" s="33">
        <v>0</v>
      </c>
      <c r="AF14" s="135">
        <f t="shared" si="2"/>
        <v>5156.3</v>
      </c>
      <c r="AG14" s="136">
        <f>4871</f>
        <v>4871</v>
      </c>
      <c r="AH14" s="137">
        <f t="shared" si="3"/>
        <v>285.3</v>
      </c>
      <c r="AI14" s="138">
        <f>131.4</f>
        <v>131.4</v>
      </c>
      <c r="AJ14" s="138">
        <f>0</f>
        <v>0</v>
      </c>
      <c r="AK14" s="138">
        <f>0</f>
        <v>0</v>
      </c>
      <c r="AL14" s="138">
        <v>153.9</v>
      </c>
      <c r="AM14" s="131">
        <f>5156.2</f>
        <v>5156.2</v>
      </c>
      <c r="AN14" s="34">
        <f t="shared" si="8"/>
        <v>1336</v>
      </c>
      <c r="AO14" s="139">
        <v>36</v>
      </c>
      <c r="AP14" s="33">
        <v>1300</v>
      </c>
      <c r="AQ14" s="33">
        <v>0</v>
      </c>
      <c r="AR14" s="33">
        <v>0</v>
      </c>
    </row>
    <row r="15" spans="1:44" s="24" customFormat="1" ht="46.5">
      <c r="A15" s="126" t="s">
        <v>35</v>
      </c>
      <c r="B15" s="32">
        <f t="shared" si="9"/>
        <v>3219.1</v>
      </c>
      <c r="C15" s="32">
        <f t="shared" si="9"/>
        <v>524</v>
      </c>
      <c r="D15" s="127">
        <f t="shared" si="4"/>
        <v>3219.1</v>
      </c>
      <c r="E15" s="128">
        <f>2937.5</f>
        <v>2937.5</v>
      </c>
      <c r="F15" s="129">
        <f t="shared" si="0"/>
        <v>281.6</v>
      </c>
      <c r="G15" s="130">
        <f>127.7</f>
        <v>127.7</v>
      </c>
      <c r="H15" s="130">
        <v>0</v>
      </c>
      <c r="I15" s="130">
        <v>153.9</v>
      </c>
      <c r="J15" s="130">
        <f>0</f>
        <v>0</v>
      </c>
      <c r="K15" s="131">
        <f>2937.5+127.7+153.9</f>
        <v>3219.1</v>
      </c>
      <c r="L15" s="34">
        <f t="shared" si="5"/>
        <v>524</v>
      </c>
      <c r="M15" s="33">
        <v>24</v>
      </c>
      <c r="N15" s="33">
        <v>500</v>
      </c>
      <c r="O15" s="33">
        <v>0</v>
      </c>
      <c r="P15" s="132">
        <v>0</v>
      </c>
      <c r="Q15" s="133"/>
      <c r="R15" s="134" t="s">
        <v>35</v>
      </c>
      <c r="S15" s="135">
        <f t="shared" si="6"/>
        <v>3298.5</v>
      </c>
      <c r="T15" s="136">
        <f>3010.9</f>
        <v>3010.9</v>
      </c>
      <c r="U15" s="137">
        <f t="shared" si="1"/>
        <v>287.6</v>
      </c>
      <c r="V15" s="138">
        <f>133.7</f>
        <v>133.7</v>
      </c>
      <c r="W15" s="138">
        <v>0</v>
      </c>
      <c r="X15" s="138">
        <v>0</v>
      </c>
      <c r="Y15" s="138">
        <v>153.9</v>
      </c>
      <c r="Z15" s="131">
        <f>3298.5</f>
        <v>3298.5</v>
      </c>
      <c r="AA15" s="34">
        <f t="shared" si="7"/>
        <v>524</v>
      </c>
      <c r="AB15" s="33">
        <v>24</v>
      </c>
      <c r="AC15" s="33">
        <v>500</v>
      </c>
      <c r="AD15" s="33">
        <v>0</v>
      </c>
      <c r="AE15" s="33">
        <v>0</v>
      </c>
      <c r="AF15" s="135">
        <f t="shared" si="2"/>
        <v>3377.4</v>
      </c>
      <c r="AG15" s="136">
        <f>3084.4</f>
        <v>3084.4</v>
      </c>
      <c r="AH15" s="137">
        <f t="shared" si="3"/>
        <v>293</v>
      </c>
      <c r="AI15" s="138">
        <f>139.1</f>
        <v>139.1</v>
      </c>
      <c r="AJ15" s="138">
        <f>0</f>
        <v>0</v>
      </c>
      <c r="AK15" s="138">
        <f>0</f>
        <v>0</v>
      </c>
      <c r="AL15" s="138">
        <v>153.9</v>
      </c>
      <c r="AM15" s="131">
        <f>3377.4</f>
        <v>3377.4</v>
      </c>
      <c r="AN15" s="34">
        <f t="shared" si="8"/>
        <v>524</v>
      </c>
      <c r="AO15" s="139">
        <v>24</v>
      </c>
      <c r="AP15" s="33">
        <v>500</v>
      </c>
      <c r="AQ15" s="33">
        <v>0</v>
      </c>
      <c r="AR15" s="33">
        <v>0</v>
      </c>
    </row>
    <row r="16" spans="1:44" s="24" customFormat="1" ht="62.25">
      <c r="A16" s="126" t="s">
        <v>36</v>
      </c>
      <c r="B16" s="32">
        <f t="shared" si="9"/>
        <v>3803.6</v>
      </c>
      <c r="C16" s="32">
        <f t="shared" si="9"/>
        <v>927</v>
      </c>
      <c r="D16" s="127">
        <f t="shared" si="4"/>
        <v>3803.6</v>
      </c>
      <c r="E16" s="128">
        <f>3538.5</f>
        <v>3538.5</v>
      </c>
      <c r="F16" s="129">
        <f t="shared" si="0"/>
        <v>265.1</v>
      </c>
      <c r="G16" s="130">
        <v>111.2</v>
      </c>
      <c r="H16" s="130">
        <v>0</v>
      </c>
      <c r="I16" s="130">
        <v>153.9</v>
      </c>
      <c r="J16" s="130">
        <v>0</v>
      </c>
      <c r="K16" s="131">
        <f>3538.5+111.2+153.9</f>
        <v>3803.6</v>
      </c>
      <c r="L16" s="34">
        <f t="shared" si="5"/>
        <v>927</v>
      </c>
      <c r="M16" s="33">
        <v>27</v>
      </c>
      <c r="N16" s="33">
        <v>900</v>
      </c>
      <c r="O16" s="33">
        <v>0</v>
      </c>
      <c r="P16" s="132">
        <f>0</f>
        <v>0</v>
      </c>
      <c r="Q16" s="133"/>
      <c r="R16" s="134" t="s">
        <v>36</v>
      </c>
      <c r="S16" s="135">
        <f t="shared" si="6"/>
        <v>3897.3</v>
      </c>
      <c r="T16" s="136">
        <f>3627</f>
        <v>3627</v>
      </c>
      <c r="U16" s="137">
        <f t="shared" si="1"/>
        <v>270.3</v>
      </c>
      <c r="V16" s="138">
        <f>116.4</f>
        <v>116.4</v>
      </c>
      <c r="W16" s="138">
        <v>0</v>
      </c>
      <c r="X16" s="138">
        <v>0</v>
      </c>
      <c r="Y16" s="138">
        <v>153.9</v>
      </c>
      <c r="Z16" s="131">
        <f>3897.3</f>
        <v>3897.3</v>
      </c>
      <c r="AA16" s="34">
        <f t="shared" si="7"/>
        <v>927</v>
      </c>
      <c r="AB16" s="33">
        <v>27</v>
      </c>
      <c r="AC16" s="33">
        <v>900</v>
      </c>
      <c r="AD16" s="33">
        <v>0</v>
      </c>
      <c r="AE16" s="33">
        <f>0</f>
        <v>0</v>
      </c>
      <c r="AF16" s="135">
        <f t="shared" si="2"/>
        <v>3990.3</v>
      </c>
      <c r="AG16" s="136">
        <f>3715.4</f>
        <v>3715.4</v>
      </c>
      <c r="AH16" s="137">
        <f t="shared" si="3"/>
        <v>274.9</v>
      </c>
      <c r="AI16" s="138">
        <f>121</f>
        <v>121</v>
      </c>
      <c r="AJ16" s="138">
        <f>0</f>
        <v>0</v>
      </c>
      <c r="AK16" s="138">
        <f>0</f>
        <v>0</v>
      </c>
      <c r="AL16" s="138">
        <v>153.9</v>
      </c>
      <c r="AM16" s="131">
        <f>3990.4</f>
        <v>3990.4</v>
      </c>
      <c r="AN16" s="34">
        <f t="shared" si="8"/>
        <v>927</v>
      </c>
      <c r="AO16" s="139">
        <v>27</v>
      </c>
      <c r="AP16" s="33">
        <v>900</v>
      </c>
      <c r="AQ16" s="33">
        <v>0</v>
      </c>
      <c r="AR16" s="33">
        <f>0</f>
        <v>0</v>
      </c>
    </row>
    <row r="17" spans="1:44" s="40" customFormat="1" ht="18.75" thickBot="1">
      <c r="A17" s="143" t="s">
        <v>37</v>
      </c>
      <c r="B17" s="35">
        <f aca="true" t="shared" si="10" ref="B17:AR17">B10+B11+B12+B13+B14+B15+B16</f>
        <v>93997.60000000002</v>
      </c>
      <c r="C17" s="35">
        <f t="shared" si="10"/>
        <v>6368.8</v>
      </c>
      <c r="D17" s="127">
        <f t="shared" si="10"/>
        <v>93997.60000000002</v>
      </c>
      <c r="E17" s="36">
        <f t="shared" si="10"/>
        <v>90709.1</v>
      </c>
      <c r="F17" s="37">
        <f t="shared" si="10"/>
        <v>3288.5</v>
      </c>
      <c r="G17" s="38">
        <f t="shared" si="10"/>
        <v>2365.0999999999995</v>
      </c>
      <c r="H17" s="38">
        <f t="shared" si="10"/>
        <v>0</v>
      </c>
      <c r="I17" s="38">
        <f t="shared" si="10"/>
        <v>923.4</v>
      </c>
      <c r="J17" s="38">
        <f t="shared" si="10"/>
        <v>0</v>
      </c>
      <c r="K17" s="131">
        <f t="shared" si="10"/>
        <v>93997.60000000002</v>
      </c>
      <c r="L17" s="39">
        <f t="shared" si="10"/>
        <v>6368.8</v>
      </c>
      <c r="M17" s="144">
        <f t="shared" si="10"/>
        <v>168.8</v>
      </c>
      <c r="N17" s="144">
        <f t="shared" si="10"/>
        <v>6200</v>
      </c>
      <c r="O17" s="38">
        <f t="shared" si="10"/>
        <v>0</v>
      </c>
      <c r="P17" s="145">
        <f t="shared" si="10"/>
        <v>0</v>
      </c>
      <c r="Q17" s="146"/>
      <c r="R17" s="147"/>
      <c r="S17" s="127">
        <f t="shared" si="10"/>
        <v>96376.20000000001</v>
      </c>
      <c r="T17" s="36">
        <f t="shared" si="10"/>
        <v>92977</v>
      </c>
      <c r="U17" s="37">
        <f t="shared" si="10"/>
        <v>3399.2000000000003</v>
      </c>
      <c r="V17" s="38">
        <f t="shared" si="10"/>
        <v>2475.8</v>
      </c>
      <c r="W17" s="38">
        <f t="shared" si="10"/>
        <v>0</v>
      </c>
      <c r="X17" s="38">
        <f t="shared" si="10"/>
        <v>0</v>
      </c>
      <c r="Y17" s="38">
        <f t="shared" si="10"/>
        <v>923.4</v>
      </c>
      <c r="Z17" s="131">
        <f t="shared" si="10"/>
        <v>96376.20000000001</v>
      </c>
      <c r="AA17" s="39">
        <f t="shared" si="10"/>
        <v>6368.8</v>
      </c>
      <c r="AB17" s="38">
        <f t="shared" si="10"/>
        <v>168.8</v>
      </c>
      <c r="AC17" s="38">
        <f t="shared" si="10"/>
        <v>6200</v>
      </c>
      <c r="AD17" s="38">
        <f t="shared" si="10"/>
        <v>0</v>
      </c>
      <c r="AE17" s="38">
        <f t="shared" si="10"/>
        <v>0</v>
      </c>
      <c r="AF17" s="127">
        <f t="shared" si="10"/>
        <v>98786.3</v>
      </c>
      <c r="AG17" s="36">
        <f t="shared" si="10"/>
        <v>95287.4</v>
      </c>
      <c r="AH17" s="37">
        <f t="shared" si="10"/>
        <v>3498.9000000000005</v>
      </c>
      <c r="AI17" s="38">
        <f t="shared" si="10"/>
        <v>2575.5</v>
      </c>
      <c r="AJ17" s="38">
        <f t="shared" si="10"/>
        <v>0</v>
      </c>
      <c r="AK17" s="38">
        <f t="shared" si="10"/>
        <v>0</v>
      </c>
      <c r="AL17" s="38">
        <f t="shared" si="10"/>
        <v>923.4</v>
      </c>
      <c r="AM17" s="131">
        <f t="shared" si="10"/>
        <v>98786.29999999999</v>
      </c>
      <c r="AN17" s="39">
        <f t="shared" si="10"/>
        <v>6368.8</v>
      </c>
      <c r="AO17" s="144">
        <f t="shared" si="10"/>
        <v>168.8</v>
      </c>
      <c r="AP17" s="38">
        <f t="shared" si="10"/>
        <v>6200</v>
      </c>
      <c r="AQ17" s="38">
        <f t="shared" si="10"/>
        <v>0</v>
      </c>
      <c r="AR17" s="38">
        <f t="shared" si="10"/>
        <v>0</v>
      </c>
    </row>
    <row r="18" spans="1:40" s="24" customFormat="1" ht="15">
      <c r="A18" s="148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5"/>
      <c r="M18" s="25"/>
      <c r="N18" s="25"/>
      <c r="O18" s="25"/>
      <c r="P18" s="25"/>
      <c r="Q18" s="25"/>
      <c r="R18" s="149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49"/>
      <c r="AG18" s="25"/>
      <c r="AH18" s="25"/>
      <c r="AI18" s="25"/>
      <c r="AJ18" s="25"/>
      <c r="AK18" s="25"/>
      <c r="AL18" s="25"/>
      <c r="AM18" s="27"/>
      <c r="AN18" s="27"/>
    </row>
    <row r="19" spans="1:40" s="24" customFormat="1" ht="15">
      <c r="A19" s="148"/>
      <c r="K19" s="4"/>
      <c r="R19" s="150"/>
      <c r="AF19" s="150"/>
      <c r="AM19" s="27"/>
      <c r="AN19" s="27"/>
    </row>
    <row r="20" spans="1:40" s="24" customFormat="1" ht="15">
      <c r="A20" s="148"/>
      <c r="K20" s="4"/>
      <c r="R20" s="150"/>
      <c r="AF20" s="150"/>
      <c r="AM20" s="27"/>
      <c r="AN20" s="27"/>
    </row>
    <row r="21" spans="1:40" s="24" customFormat="1" ht="15">
      <c r="A21" s="148"/>
      <c r="K21" s="4"/>
      <c r="R21" s="150"/>
      <c r="AF21" s="150"/>
      <c r="AM21" s="27"/>
      <c r="AN21" s="27"/>
    </row>
    <row r="22" spans="1:40" s="24" customFormat="1" ht="15">
      <c r="A22" s="148"/>
      <c r="K22" s="4"/>
      <c r="R22" s="150"/>
      <c r="AF22" s="150"/>
      <c r="AM22" s="27"/>
      <c r="AN22" s="27"/>
    </row>
    <row r="23" spans="1:40" s="24" customFormat="1" ht="15">
      <c r="A23" s="148"/>
      <c r="K23" s="4"/>
      <c r="R23" s="150"/>
      <c r="AF23" s="150"/>
      <c r="AM23" s="27"/>
      <c r="AN23" s="27"/>
    </row>
  </sheetData>
  <sheetProtection/>
  <mergeCells count="32">
    <mergeCell ref="R4:AR4"/>
    <mergeCell ref="D5:P5"/>
    <mergeCell ref="R5:AE5"/>
    <mergeCell ref="AF5:AR5"/>
    <mergeCell ref="D6:P6"/>
    <mergeCell ref="R6:AE6"/>
    <mergeCell ref="L7:L8"/>
    <mergeCell ref="M7:P7"/>
    <mergeCell ref="A1:P2"/>
    <mergeCell ref="A4:A8"/>
    <mergeCell ref="B4:C5"/>
    <mergeCell ref="D4:P4"/>
    <mergeCell ref="AG7:AH7"/>
    <mergeCell ref="AI7:AL7"/>
    <mergeCell ref="AF6:AR6"/>
    <mergeCell ref="B7:B8"/>
    <mergeCell ref="C7:C8"/>
    <mergeCell ref="D7:D8"/>
    <mergeCell ref="E7:E8"/>
    <mergeCell ref="F7:F8"/>
    <mergeCell ref="G7:J7"/>
    <mergeCell ref="K7:K8"/>
    <mergeCell ref="AM7:AM8"/>
    <mergeCell ref="AN7:AN8"/>
    <mergeCell ref="AO7:AR7"/>
    <mergeCell ref="S7:S8"/>
    <mergeCell ref="T7:U7"/>
    <mergeCell ref="V7:Y7"/>
    <mergeCell ref="Z7:Z8"/>
    <mergeCell ref="AA7:AA8"/>
    <mergeCell ref="AB7:AE7"/>
    <mergeCell ref="AF7:A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2016-11-22T12:08:38Z</dcterms:modified>
  <cp:category/>
  <cp:version/>
  <cp:contentType/>
  <cp:contentStatus/>
</cp:coreProperties>
</file>